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emf" ContentType="image/x-emf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mbeddings/oleObject1.bin" ContentType="application/vnd.openxmlformats-officedocument.oleObject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10215" yWindow="-225" windowWidth="12570" windowHeight="12030"/>
  </bookViews>
  <sheets>
    <sheet name="Cover" sheetId="17" r:id="rId1"/>
    <sheet name="Summary &amp; ICD" sheetId="14" r:id="rId2"/>
    <sheet name="SPB" sheetId="16" r:id="rId3"/>
    <sheet name="AXB" sheetId="15" r:id="rId4"/>
    <sheet name="IDPU Calcs" sheetId="21" r:id="rId5"/>
    <sheet name="Harness calcs" sheetId="20" r:id="rId6"/>
    <sheet name="Harness calcs Old" sheetId="22" r:id="rId7"/>
    <sheet name="SPB Deploy Summary" sheetId="23" r:id="rId8"/>
  </sheets>
  <externalReferences>
    <externalReference r:id="rId9"/>
  </externalReferences>
  <definedNames>
    <definedName name="__123Graph_A" hidden="1">'[1]Fine Wire'!$O$32:$O$47</definedName>
    <definedName name="__123Graph_ARESONANCE" hidden="1">'[1]Fine Wire'!$K$16:$K$32</definedName>
    <definedName name="__123Graph_ASHADOW" hidden="1">'[1]Fine Wire'!$O$32:$O$47</definedName>
    <definedName name="__123Graph_B" hidden="1">'[1]Fine Wire'!$R$32:$R$47</definedName>
    <definedName name="__123Graph_BSHADOW" hidden="1">'[1]Fine Wire'!$R$32:$R$47</definedName>
    <definedName name="__123Graph_X" hidden="1">'[1]Fine Wire'!$M$32:$M$47</definedName>
    <definedName name="__123Graph_XRESONANCE" hidden="1">'[1]Fine Wire'!$B$16:$B$32</definedName>
    <definedName name="__123Graph_XSHADOW" hidden="1">'[1]Fine Wire'!$M$32:$M$47</definedName>
    <definedName name="_xlnm.Print_Area" localSheetId="3">AXB!$A$1:$AG$55</definedName>
    <definedName name="_xlnm.Print_Area" localSheetId="2">SPB!$A$1:$Q$50</definedName>
    <definedName name="_xlnm.Print_Area" localSheetId="1">'Summary &amp; ICD'!$A$93:$M$110</definedName>
  </definedNames>
  <calcPr calcId="125725" concurrentCalc="0"/>
</workbook>
</file>

<file path=xl/calcChain.xml><?xml version="1.0" encoding="utf-8"?>
<calcChain xmlns="http://schemas.openxmlformats.org/spreadsheetml/2006/main">
  <c r="A1" i="23"/>
  <c r="A2"/>
  <c r="A4"/>
  <c r="B4"/>
  <c r="C4"/>
  <c r="D4"/>
  <c r="E4"/>
  <c r="F4"/>
  <c r="A5"/>
  <c r="B5"/>
  <c r="C5"/>
  <c r="D5"/>
  <c r="E5"/>
  <c r="F5"/>
  <c r="A7"/>
  <c r="B7"/>
  <c r="C7"/>
  <c r="D7"/>
  <c r="E7"/>
  <c r="F7"/>
  <c r="A8"/>
  <c r="B8"/>
  <c r="C8"/>
  <c r="D8"/>
  <c r="E8"/>
  <c r="F8"/>
  <c r="A10"/>
  <c r="B10"/>
  <c r="C10"/>
  <c r="D10"/>
  <c r="E10"/>
  <c r="F10"/>
  <c r="A12"/>
  <c r="B12"/>
  <c r="C12"/>
  <c r="D12"/>
  <c r="E12"/>
  <c r="F12"/>
  <c r="A13"/>
  <c r="B13"/>
  <c r="C13"/>
  <c r="D13"/>
  <c r="E13"/>
  <c r="F13"/>
  <c r="A15"/>
  <c r="B15"/>
  <c r="C15"/>
  <c r="D15"/>
  <c r="E15"/>
  <c r="F15"/>
  <c r="A16"/>
  <c r="B16"/>
  <c r="C16"/>
  <c r="D16"/>
  <c r="E16"/>
  <c r="F16"/>
  <c r="A18"/>
  <c r="B18"/>
  <c r="C18"/>
  <c r="D18"/>
  <c r="E18"/>
  <c r="F18"/>
  <c r="A19"/>
  <c r="B19"/>
  <c r="C19"/>
  <c r="D19"/>
  <c r="E19"/>
  <c r="F19"/>
  <c r="A21"/>
  <c r="B21"/>
  <c r="C21"/>
  <c r="D21"/>
  <c r="E21"/>
  <c r="F21"/>
  <c r="A22"/>
  <c r="B22"/>
  <c r="C22"/>
  <c r="D22"/>
  <c r="E22"/>
  <c r="F22"/>
  <c r="A24"/>
  <c r="B24"/>
  <c r="C24"/>
  <c r="D24"/>
  <c r="E24"/>
  <c r="F24"/>
  <c r="A26"/>
  <c r="B26"/>
  <c r="C26"/>
  <c r="D26"/>
  <c r="E26"/>
  <c r="H42" i="16"/>
  <c r="F26" i="23"/>
  <c r="A27"/>
  <c r="B27"/>
  <c r="C27"/>
  <c r="D27"/>
  <c r="E27"/>
  <c r="H43" i="16"/>
  <c r="F27" i="23"/>
  <c r="A29"/>
  <c r="B29"/>
  <c r="C29"/>
  <c r="D29"/>
  <c r="E29"/>
  <c r="H44" i="16"/>
  <c r="F29" i="23"/>
  <c r="A30"/>
  <c r="B30"/>
  <c r="C30"/>
  <c r="D30"/>
  <c r="E30"/>
  <c r="H45" i="16"/>
  <c r="F30" i="23"/>
  <c r="A32"/>
  <c r="B32"/>
  <c r="C32"/>
  <c r="D32"/>
  <c r="E32"/>
  <c r="H46" i="16"/>
  <c r="F32" i="23"/>
  <c r="A33"/>
  <c r="B33"/>
  <c r="C33"/>
  <c r="D33"/>
  <c r="E33"/>
  <c r="H47" i="16"/>
  <c r="F33" i="23"/>
  <c r="A35"/>
  <c r="B35"/>
  <c r="C35"/>
  <c r="D35"/>
  <c r="E35"/>
  <c r="H48" i="16"/>
  <c r="F35" i="23"/>
  <c r="A36"/>
  <c r="B36"/>
  <c r="C36"/>
  <c r="D36"/>
  <c r="E36"/>
  <c r="H49" i="16"/>
  <c r="F36" i="23"/>
  <c r="A38"/>
  <c r="B38"/>
  <c r="C38"/>
  <c r="D38"/>
  <c r="E38"/>
  <c r="F38"/>
  <c r="C24" i="1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6"/>
  <c r="C48"/>
  <c r="AA48"/>
  <c r="AG49"/>
  <c r="AF48"/>
  <c r="AG48"/>
  <c r="C47"/>
  <c r="C45"/>
  <c r="AG45"/>
  <c r="AF45"/>
  <c r="AE45"/>
  <c r="X45"/>
  <c r="K8"/>
  <c r="V45"/>
  <c r="F45"/>
  <c r="Z45"/>
  <c r="D50"/>
  <c r="X50"/>
  <c r="C50"/>
  <c r="W50"/>
  <c r="X47"/>
  <c r="W47"/>
  <c r="X46"/>
  <c r="X44"/>
  <c r="X26"/>
  <c r="D24"/>
  <c r="D25"/>
  <c r="X25"/>
  <c r="X24"/>
  <c r="X23"/>
  <c r="W23"/>
  <c r="V50"/>
  <c r="U50"/>
  <c r="V47"/>
  <c r="U47"/>
  <c r="V46"/>
  <c r="V44"/>
  <c r="V26"/>
  <c r="V25"/>
  <c r="V24"/>
  <c r="V23"/>
  <c r="U23"/>
  <c r="H78"/>
  <c r="C12"/>
  <c r="H68"/>
  <c r="H60"/>
  <c r="A4"/>
  <c r="H50"/>
  <c r="I53"/>
  <c r="I52"/>
  <c r="K87" i="14"/>
  <c r="K86"/>
  <c r="L86"/>
  <c r="K89"/>
  <c r="K4" i="15"/>
  <c r="X11"/>
  <c r="Y18"/>
  <c r="X18"/>
  <c r="L21"/>
  <c r="L19"/>
  <c r="P8"/>
  <c r="K88" i="14"/>
  <c r="C11"/>
  <c r="D11"/>
  <c r="F11"/>
  <c r="G11"/>
  <c r="K85"/>
  <c r="L85"/>
  <c r="K90"/>
  <c r="L90"/>
  <c r="D14"/>
  <c r="D15"/>
  <c r="D16"/>
  <c r="F4"/>
  <c r="C53"/>
  <c r="C46"/>
  <c r="C47"/>
  <c r="C45"/>
  <c r="C50"/>
  <c r="F44"/>
  <c r="D63"/>
  <c r="D62"/>
  <c r="D42"/>
  <c r="D17"/>
  <c r="I27"/>
  <c r="C42"/>
  <c r="F42"/>
  <c r="C17"/>
  <c r="F17"/>
  <c r="C62"/>
  <c r="F62"/>
  <c r="C63"/>
  <c r="C66"/>
  <c r="D45"/>
  <c r="L87"/>
  <c r="L88"/>
  <c r="K91"/>
  <c r="L91"/>
  <c r="A6" i="16"/>
  <c r="I15" i="14"/>
  <c r="I16"/>
  <c r="I18"/>
  <c r="I19"/>
  <c r="I20"/>
  <c r="I21"/>
  <c r="I22"/>
  <c r="I23"/>
  <c r="I24"/>
  <c r="I25"/>
  <c r="I26"/>
  <c r="I28"/>
  <c r="I29"/>
  <c r="I30"/>
  <c r="I31"/>
  <c r="I32"/>
  <c r="I33"/>
  <c r="I34"/>
  <c r="I35"/>
  <c r="I36"/>
  <c r="I37"/>
  <c r="I38"/>
  <c r="I39"/>
  <c r="I40"/>
  <c r="I41"/>
  <c r="U87"/>
  <c r="C21"/>
  <c r="C22"/>
  <c r="U90"/>
  <c r="C29"/>
  <c r="D29"/>
  <c r="F29"/>
  <c r="G29"/>
  <c r="U89"/>
  <c r="C30"/>
  <c r="D30"/>
  <c r="F30"/>
  <c r="G30"/>
  <c r="U88"/>
  <c r="C31"/>
  <c r="D31"/>
  <c r="F31"/>
  <c r="G31"/>
  <c r="D19"/>
  <c r="D20"/>
  <c r="D23"/>
  <c r="D24"/>
  <c r="D25"/>
  <c r="D26"/>
  <c r="D27"/>
  <c r="D28"/>
  <c r="D32"/>
  <c r="D34"/>
  <c r="D35"/>
  <c r="D36"/>
  <c r="D37"/>
  <c r="F37"/>
  <c r="G37"/>
  <c r="D38"/>
  <c r="F38"/>
  <c r="D39"/>
  <c r="F39"/>
  <c r="G39"/>
  <c r="D40"/>
  <c r="F40"/>
  <c r="D41"/>
  <c r="F41"/>
  <c r="G41"/>
  <c r="F19"/>
  <c r="F20"/>
  <c r="F23"/>
  <c r="F24"/>
  <c r="F25"/>
  <c r="F26"/>
  <c r="F27"/>
  <c r="F28"/>
  <c r="F32"/>
  <c r="F34"/>
  <c r="F35"/>
  <c r="F36"/>
  <c r="H4"/>
  <c r="H16"/>
  <c r="H50"/>
  <c r="H44"/>
  <c r="H18"/>
  <c r="H22"/>
  <c r="H33"/>
  <c r="H53"/>
  <c r="F45"/>
  <c r="D46"/>
  <c r="F46"/>
  <c r="D47"/>
  <c r="F47"/>
  <c r="D48"/>
  <c r="F48"/>
  <c r="D49"/>
  <c r="F49"/>
  <c r="D51"/>
  <c r="F51"/>
  <c r="D52"/>
  <c r="F52"/>
  <c r="G52"/>
  <c r="C17" i="16"/>
  <c r="H66" i="14"/>
  <c r="H74"/>
  <c r="F5"/>
  <c r="G5"/>
  <c r="F6"/>
  <c r="G6"/>
  <c r="F7"/>
  <c r="G7"/>
  <c r="F8"/>
  <c r="G8"/>
  <c r="F9"/>
  <c r="G9"/>
  <c r="A6" i="22"/>
  <c r="A7"/>
  <c r="A8"/>
  <c r="A9"/>
  <c r="A10"/>
  <c r="A11"/>
  <c r="A12"/>
  <c r="A13"/>
  <c r="A14"/>
  <c r="A15"/>
  <c r="A16"/>
  <c r="A17"/>
  <c r="B28"/>
  <c r="B29"/>
  <c r="B52"/>
  <c r="B30"/>
  <c r="B44"/>
  <c r="B33"/>
  <c r="C42"/>
  <c r="B43"/>
  <c r="C43"/>
  <c r="C44"/>
  <c r="C45"/>
  <c r="B46"/>
  <c r="C46"/>
  <c r="C47"/>
  <c r="C6"/>
  <c r="B50"/>
  <c r="C50"/>
  <c r="B51"/>
  <c r="C51"/>
  <c r="C52"/>
  <c r="C53"/>
  <c r="B54"/>
  <c r="C54"/>
  <c r="C55"/>
  <c r="C7"/>
  <c r="B75"/>
  <c r="C75"/>
  <c r="B77"/>
  <c r="C77"/>
  <c r="C78"/>
  <c r="B79"/>
  <c r="B80"/>
  <c r="B81"/>
  <c r="C81"/>
  <c r="B90"/>
  <c r="C90"/>
  <c r="B91"/>
  <c r="C91"/>
  <c r="B92"/>
  <c r="C92"/>
  <c r="C93"/>
  <c r="C94"/>
  <c r="B95"/>
  <c r="C95"/>
  <c r="B96"/>
  <c r="C96"/>
  <c r="B97"/>
  <c r="C97"/>
  <c r="C140"/>
  <c r="B141"/>
  <c r="B149"/>
  <c r="B10"/>
  <c r="C141"/>
  <c r="C142"/>
  <c r="B143"/>
  <c r="C143"/>
  <c r="B144"/>
  <c r="C144"/>
  <c r="B145"/>
  <c r="C145"/>
  <c r="B146"/>
  <c r="C146"/>
  <c r="B147"/>
  <c r="C147"/>
  <c r="C149"/>
  <c r="C10"/>
  <c r="B148"/>
  <c r="C148"/>
  <c r="B158"/>
  <c r="C158"/>
  <c r="B159"/>
  <c r="C159"/>
  <c r="B160"/>
  <c r="C160"/>
  <c r="B161"/>
  <c r="C161"/>
  <c r="C162"/>
  <c r="C11"/>
  <c r="B162"/>
  <c r="B11"/>
  <c r="B171"/>
  <c r="B173"/>
  <c r="B174"/>
  <c r="B175"/>
  <c r="B176"/>
  <c r="B177"/>
  <c r="B178"/>
  <c r="B179"/>
  <c r="B12"/>
  <c r="C12"/>
  <c r="B188"/>
  <c r="B189"/>
  <c r="B190"/>
  <c r="B191"/>
  <c r="B192"/>
  <c r="B13"/>
  <c r="C13"/>
  <c r="B201"/>
  <c r="B203"/>
  <c r="B205"/>
  <c r="B207"/>
  <c r="B208"/>
  <c r="B209"/>
  <c r="B210"/>
  <c r="B14"/>
  <c r="C14"/>
  <c r="B214"/>
  <c r="B215"/>
  <c r="B216"/>
  <c r="B217"/>
  <c r="B218"/>
  <c r="B219"/>
  <c r="B220"/>
  <c r="B221"/>
  <c r="B222"/>
  <c r="B223"/>
  <c r="B224"/>
  <c r="B245"/>
  <c r="B246"/>
  <c r="B247"/>
  <c r="B248"/>
  <c r="B16"/>
  <c r="C16"/>
  <c r="B253"/>
  <c r="B254"/>
  <c r="G10"/>
  <c r="B255"/>
  <c r="B256"/>
  <c r="B257"/>
  <c r="B258"/>
  <c r="B259"/>
  <c r="B17"/>
  <c r="C17"/>
  <c r="E50" i="14"/>
  <c r="C42" i="20"/>
  <c r="C43"/>
  <c r="C50"/>
  <c r="C51"/>
  <c r="C75"/>
  <c r="C90"/>
  <c r="C91"/>
  <c r="C77"/>
  <c r="C92"/>
  <c r="C93"/>
  <c r="B43"/>
  <c r="B50"/>
  <c r="B51"/>
  <c r="B75"/>
  <c r="B90"/>
  <c r="B91"/>
  <c r="B77"/>
  <c r="G51" i="14"/>
  <c r="D50"/>
  <c r="D65"/>
  <c r="F65"/>
  <c r="E65"/>
  <c r="C65"/>
  <c r="V28"/>
  <c r="R85"/>
  <c r="E22"/>
  <c r="E74"/>
  <c r="E18"/>
  <c r="E33"/>
  <c r="H58"/>
  <c r="D58"/>
  <c r="F58"/>
  <c r="C58"/>
  <c r="H61"/>
  <c r="H60"/>
  <c r="H59"/>
  <c r="D66"/>
  <c r="F66"/>
  <c r="G66"/>
  <c r="D64"/>
  <c r="F64"/>
  <c r="G64"/>
  <c r="F61"/>
  <c r="F60"/>
  <c r="F59"/>
  <c r="E61"/>
  <c r="E60"/>
  <c r="E59"/>
  <c r="D61"/>
  <c r="D60"/>
  <c r="D59"/>
  <c r="C61"/>
  <c r="C60"/>
  <c r="C59"/>
  <c r="B63"/>
  <c r="H75"/>
  <c r="H73"/>
  <c r="E75"/>
  <c r="H78"/>
  <c r="E77"/>
  <c r="E78"/>
  <c r="R86"/>
  <c r="R87"/>
  <c r="V87"/>
  <c r="V88"/>
  <c r="R89"/>
  <c r="V89"/>
  <c r="V90"/>
  <c r="T91"/>
  <c r="C158" i="20"/>
  <c r="C161"/>
  <c r="B161"/>
  <c r="B158"/>
  <c r="C142"/>
  <c r="C143"/>
  <c r="C140"/>
  <c r="C141"/>
  <c r="B143"/>
  <c r="B141"/>
  <c r="C97"/>
  <c r="B97"/>
  <c r="B78"/>
  <c r="C54"/>
  <c r="B54"/>
  <c r="B33"/>
  <c r="B148"/>
  <c r="B209"/>
  <c r="B177"/>
  <c r="B30"/>
  <c r="C45"/>
  <c r="C78"/>
  <c r="B29"/>
  <c r="C144"/>
  <c r="B171"/>
  <c r="B173"/>
  <c r="B175"/>
  <c r="B201"/>
  <c r="B203"/>
  <c r="B205"/>
  <c r="B207"/>
  <c r="B28"/>
  <c r="C159"/>
  <c r="B92"/>
  <c r="B191"/>
  <c r="B188"/>
  <c r="B224"/>
  <c r="B214"/>
  <c r="B215"/>
  <c r="B216"/>
  <c r="B217"/>
  <c r="B218"/>
  <c r="B219"/>
  <c r="B220"/>
  <c r="B221"/>
  <c r="B247"/>
  <c r="B245"/>
  <c r="B258"/>
  <c r="B253"/>
  <c r="B254"/>
  <c r="B257"/>
  <c r="D53" i="14"/>
  <c r="F53"/>
  <c r="A17" i="20"/>
  <c r="A16"/>
  <c r="A15"/>
  <c r="A14"/>
  <c r="A13"/>
  <c r="A12"/>
  <c r="A11"/>
  <c r="A10"/>
  <c r="A9"/>
  <c r="A8"/>
  <c r="A7"/>
  <c r="A6"/>
  <c r="G8" i="21"/>
  <c r="B7"/>
  <c r="E40"/>
  <c r="D27"/>
  <c r="D39"/>
  <c r="C27"/>
  <c r="C39"/>
  <c r="D40"/>
  <c r="G27"/>
  <c r="E27"/>
  <c r="E42"/>
  <c r="C43"/>
  <c r="C44"/>
  <c r="E30"/>
  <c r="D30"/>
  <c r="E31"/>
  <c r="C31"/>
  <c r="E32"/>
  <c r="C32"/>
  <c r="E33"/>
  <c r="C33"/>
  <c r="E34"/>
  <c r="C34"/>
  <c r="E35"/>
  <c r="C35"/>
  <c r="B27"/>
  <c r="B14"/>
  <c r="B15"/>
  <c r="D16"/>
  <c r="B16"/>
  <c r="B11"/>
  <c r="D17"/>
  <c r="B17"/>
  <c r="B18"/>
  <c r="B19"/>
  <c r="B20"/>
  <c r="B21"/>
  <c r="B22"/>
  <c r="B23"/>
  <c r="D3"/>
  <c r="C3"/>
  <c r="B3"/>
  <c r="X4" i="15"/>
  <c r="X13"/>
  <c r="X14"/>
  <c r="G19" i="14"/>
  <c r="X12" i="15"/>
  <c r="G23" i="14"/>
  <c r="G49"/>
  <c r="G48"/>
  <c r="G47"/>
  <c r="G46"/>
  <c r="G45"/>
  <c r="D43"/>
  <c r="F43"/>
  <c r="G43"/>
  <c r="F16"/>
  <c r="F15"/>
  <c r="F14"/>
  <c r="E16"/>
  <c r="E15"/>
  <c r="E14"/>
  <c r="C16"/>
  <c r="C15"/>
  <c r="C14"/>
  <c r="G53"/>
  <c r="B42"/>
  <c r="I14"/>
  <c r="G37" i="15"/>
  <c r="H37"/>
  <c r="Y4"/>
  <c r="Y12"/>
  <c r="Y13"/>
  <c r="Y14"/>
  <c r="E38"/>
  <c r="N38"/>
  <c r="E39"/>
  <c r="N39"/>
  <c r="E40"/>
  <c r="N40"/>
  <c r="E41"/>
  <c r="N41"/>
  <c r="E43"/>
  <c r="N43"/>
  <c r="E44"/>
  <c r="N44"/>
  <c r="E45"/>
  <c r="N45"/>
  <c r="E46"/>
  <c r="N46"/>
  <c r="L37"/>
  <c r="L42"/>
  <c r="L41"/>
  <c r="I40"/>
  <c r="I45"/>
  <c r="I38"/>
  <c r="L38"/>
  <c r="O38"/>
  <c r="L39"/>
  <c r="O39"/>
  <c r="L40"/>
  <c r="O40"/>
  <c r="O41"/>
  <c r="L46"/>
  <c r="O46"/>
  <c r="G38"/>
  <c r="H38"/>
  <c r="P38"/>
  <c r="G39"/>
  <c r="I39"/>
  <c r="P39"/>
  <c r="G40"/>
  <c r="H40"/>
  <c r="P40"/>
  <c r="G41"/>
  <c r="P41"/>
  <c r="H41"/>
  <c r="I41"/>
  <c r="G42"/>
  <c r="H42"/>
  <c r="G43"/>
  <c r="I43"/>
  <c r="G44"/>
  <c r="P44"/>
  <c r="H44"/>
  <c r="I44"/>
  <c r="G45"/>
  <c r="G46"/>
  <c r="P46"/>
  <c r="H46"/>
  <c r="I46"/>
  <c r="X10"/>
  <c r="E20"/>
  <c r="E25"/>
  <c r="E21"/>
  <c r="E26"/>
  <c r="E22"/>
  <c r="E27"/>
  <c r="E23"/>
  <c r="E28"/>
  <c r="D96" i="14"/>
  <c r="A4" i="15"/>
  <c r="Y10"/>
  <c r="J23"/>
  <c r="M23"/>
  <c r="C61" i="16"/>
  <c r="C62"/>
  <c r="C63"/>
  <c r="C64"/>
  <c r="D64"/>
  <c r="D65"/>
  <c r="F63"/>
  <c r="D61"/>
  <c r="D62"/>
  <c r="E61"/>
  <c r="E60"/>
  <c r="F60"/>
  <c r="G60"/>
  <c r="E17"/>
  <c r="H17"/>
  <c r="C83"/>
  <c r="Z83"/>
  <c r="C84"/>
  <c r="E84"/>
  <c r="D84"/>
  <c r="F84"/>
  <c r="H84"/>
  <c r="D83"/>
  <c r="F83"/>
  <c r="D82"/>
  <c r="F82"/>
  <c r="D81"/>
  <c r="F81"/>
  <c r="R60"/>
  <c r="R61"/>
  <c r="R62"/>
  <c r="R64"/>
  <c r="S62"/>
  <c r="AG84"/>
  <c r="AF84"/>
  <c r="AH84"/>
  <c r="AA84"/>
  <c r="Z84"/>
  <c r="AB84"/>
  <c r="AG83"/>
  <c r="AA83"/>
  <c r="AF82"/>
  <c r="AF81"/>
  <c r="A12"/>
  <c r="Y84"/>
  <c r="E6"/>
  <c r="AE84"/>
  <c r="L84"/>
  <c r="K84"/>
  <c r="J84"/>
  <c r="I84"/>
  <c r="AE83"/>
  <c r="AE81"/>
  <c r="K60"/>
  <c r="J60"/>
  <c r="I60"/>
  <c r="G21" i="15"/>
  <c r="M38"/>
  <c r="M39"/>
  <c r="M40"/>
  <c r="M41"/>
  <c r="M43"/>
  <c r="M44"/>
  <c r="M45"/>
  <c r="M46"/>
  <c r="E24" i="16"/>
  <c r="F27"/>
  <c r="F46"/>
  <c r="F44"/>
  <c r="F47"/>
  <c r="R23"/>
  <c r="S23"/>
  <c r="R24"/>
  <c r="R27"/>
  <c r="N23"/>
  <c r="G19" i="15"/>
  <c r="H19"/>
  <c r="I19"/>
  <c r="G20"/>
  <c r="H20"/>
  <c r="I20"/>
  <c r="L20"/>
  <c r="I21"/>
  <c r="P21"/>
  <c r="G22"/>
  <c r="I22"/>
  <c r="H22"/>
  <c r="P22"/>
  <c r="L22"/>
  <c r="G23"/>
  <c r="P23"/>
  <c r="H23"/>
  <c r="H28"/>
  <c r="I23"/>
  <c r="L23"/>
  <c r="O23"/>
  <c r="G24"/>
  <c r="H24"/>
  <c r="I24"/>
  <c r="L24"/>
  <c r="G25"/>
  <c r="H25"/>
  <c r="G26"/>
  <c r="P26"/>
  <c r="H26"/>
  <c r="I26"/>
  <c r="L26"/>
  <c r="G27"/>
  <c r="I27"/>
  <c r="H27"/>
  <c r="P27"/>
  <c r="L27"/>
  <c r="O27"/>
  <c r="I28"/>
  <c r="J27"/>
  <c r="M27"/>
  <c r="J28"/>
  <c r="J22"/>
  <c r="Q40"/>
  <c r="R20"/>
  <c r="Q41"/>
  <c r="R21"/>
  <c r="Q21"/>
  <c r="Q23"/>
  <c r="Q26"/>
  <c r="O21"/>
  <c r="O22"/>
  <c r="O26"/>
  <c r="N20"/>
  <c r="N21"/>
  <c r="N22"/>
  <c r="N23"/>
  <c r="N25"/>
  <c r="N26"/>
  <c r="N27"/>
  <c r="N28"/>
  <c r="M20"/>
  <c r="M21"/>
  <c r="M22"/>
  <c r="M25"/>
  <c r="M26"/>
  <c r="M28"/>
  <c r="N31" i="16"/>
  <c r="AG47"/>
  <c r="AF47"/>
  <c r="AG46"/>
  <c r="AG44"/>
  <c r="N41"/>
  <c r="J23"/>
  <c r="C6"/>
  <c r="B98" i="14"/>
  <c r="A8" i="16"/>
  <c r="E98" i="14"/>
  <c r="D8" i="16"/>
  <c r="A10"/>
  <c r="C10"/>
  <c r="G13"/>
  <c r="E18"/>
  <c r="I23"/>
  <c r="K23"/>
  <c r="AE46"/>
  <c r="AE47"/>
  <c r="A6" i="15"/>
  <c r="C6"/>
  <c r="E6"/>
  <c r="A8"/>
  <c r="D8"/>
  <c r="A10"/>
  <c r="C10"/>
  <c r="A12"/>
  <c r="C12"/>
  <c r="Q38"/>
  <c r="R38"/>
  <c r="Q39"/>
  <c r="R39"/>
  <c r="R40"/>
  <c r="R41"/>
  <c r="Q44"/>
  <c r="R44"/>
  <c r="Q46"/>
  <c r="R46"/>
  <c r="G20" i="14"/>
  <c r="G24"/>
  <c r="G25"/>
  <c r="G26"/>
  <c r="G27"/>
  <c r="G32"/>
  <c r="G34"/>
  <c r="G35"/>
  <c r="G36"/>
  <c r="G38"/>
  <c r="F63"/>
  <c r="F67"/>
  <c r="D67"/>
  <c r="C67"/>
  <c r="D54"/>
  <c r="C54"/>
  <c r="F54"/>
  <c r="AH47" i="16"/>
  <c r="AI47"/>
  <c r="R26" i="15"/>
  <c r="R23"/>
  <c r="G84" i="16"/>
  <c r="AM84"/>
  <c r="E63"/>
  <c r="G63"/>
  <c r="Y15" i="15"/>
  <c r="Y17"/>
  <c r="D43" i="21"/>
  <c r="D34"/>
  <c r="F34"/>
  <c r="G34"/>
  <c r="D44"/>
  <c r="D35"/>
  <c r="F35"/>
  <c r="G35"/>
  <c r="F65" i="16"/>
  <c r="X15" i="15"/>
  <c r="X17"/>
  <c r="S61" i="16"/>
  <c r="E83"/>
  <c r="G83"/>
  <c r="AN83"/>
  <c r="F64"/>
  <c r="H45" i="15"/>
  <c r="H43"/>
  <c r="L45"/>
  <c r="O45"/>
  <c r="L44"/>
  <c r="O44"/>
  <c r="L43"/>
  <c r="O43"/>
  <c r="E43" i="21"/>
  <c r="F43"/>
  <c r="G43"/>
  <c r="E41"/>
  <c r="E39"/>
  <c r="F39"/>
  <c r="G39"/>
  <c r="B256" i="20"/>
  <c r="B223"/>
  <c r="B189"/>
  <c r="B208"/>
  <c r="B210"/>
  <c r="B14"/>
  <c r="C14"/>
  <c r="B176"/>
  <c r="B174"/>
  <c r="B45"/>
  <c r="C46"/>
  <c r="C47"/>
  <c r="C44"/>
  <c r="B53"/>
  <c r="C52"/>
  <c r="B79"/>
  <c r="B82"/>
  <c r="B81"/>
  <c r="C80"/>
  <c r="B95"/>
  <c r="C96"/>
  <c r="C94"/>
  <c r="B145"/>
  <c r="B147"/>
  <c r="C145"/>
  <c r="B160"/>
  <c r="C160"/>
  <c r="H10"/>
  <c r="B225" i="22"/>
  <c r="B15"/>
  <c r="C15"/>
  <c r="H10"/>
  <c r="B52" i="20"/>
  <c r="B55"/>
  <c r="B7"/>
  <c r="C53"/>
  <c r="B80"/>
  <c r="C79"/>
  <c r="B94"/>
  <c r="B96"/>
  <c r="C95"/>
  <c r="C98"/>
  <c r="C9"/>
  <c r="B144"/>
  <c r="B146"/>
  <c r="C146"/>
  <c r="B159"/>
  <c r="B162"/>
  <c r="B11"/>
  <c r="C98" i="22"/>
  <c r="C9"/>
  <c r="C18" i="14"/>
  <c r="B78" i="22"/>
  <c r="B82"/>
  <c r="B8"/>
  <c r="B45"/>
  <c r="B47"/>
  <c r="B6"/>
  <c r="K95" i="14"/>
  <c r="AC84" i="16"/>
  <c r="AK84"/>
  <c r="AL84"/>
  <c r="AI84"/>
  <c r="M84"/>
  <c r="M78"/>
  <c r="M68"/>
  <c r="M60"/>
  <c r="M23"/>
  <c r="M31"/>
  <c r="M41"/>
  <c r="M50"/>
  <c r="B8" i="20"/>
  <c r="C6"/>
  <c r="Q43" i="15"/>
  <c r="R43"/>
  <c r="E64" i="16"/>
  <c r="G64"/>
  <c r="C65"/>
  <c r="C66"/>
  <c r="P84"/>
  <c r="AN84"/>
  <c r="C41" i="21"/>
  <c r="Q45" i="15"/>
  <c r="R45"/>
  <c r="P45"/>
  <c r="P43"/>
  <c r="E65" i="16"/>
  <c r="G65"/>
  <c r="R66"/>
  <c r="H15" i="14"/>
  <c r="E17"/>
  <c r="E62"/>
  <c r="E63"/>
  <c r="E67"/>
  <c r="H17"/>
  <c r="G17"/>
  <c r="G42"/>
  <c r="D33"/>
  <c r="C33"/>
  <c r="D22"/>
  <c r="F22"/>
  <c r="G22"/>
  <c r="H14"/>
  <c r="G58"/>
  <c r="E42"/>
  <c r="E54"/>
  <c r="H42"/>
  <c r="H54"/>
  <c r="G54"/>
  <c r="H62"/>
  <c r="G40"/>
  <c r="F33"/>
  <c r="G33"/>
  <c r="H77"/>
  <c r="H76"/>
  <c r="H63"/>
  <c r="G62"/>
  <c r="G63"/>
  <c r="AH48" i="16"/>
  <c r="AH45"/>
  <c r="AI45"/>
  <c r="O84"/>
  <c r="F48"/>
  <c r="AI48"/>
  <c r="V48"/>
  <c r="X48"/>
  <c r="Z48"/>
  <c r="AB48"/>
  <c r="AE48"/>
  <c r="C49"/>
  <c r="AF49"/>
  <c r="AH49"/>
  <c r="E48"/>
  <c r="R48"/>
  <c r="U48"/>
  <c r="W48"/>
  <c r="Y48"/>
  <c r="F49"/>
  <c r="V49"/>
  <c r="X49"/>
  <c r="AE49"/>
  <c r="E45"/>
  <c r="G45"/>
  <c r="R45"/>
  <c r="U45"/>
  <c r="W45"/>
  <c r="Y45"/>
  <c r="AA45"/>
  <c r="AB45"/>
  <c r="V27"/>
  <c r="X27"/>
  <c r="S24"/>
  <c r="E25"/>
  <c r="U24"/>
  <c r="W24"/>
  <c r="AB83"/>
  <c r="AM83"/>
  <c r="Y11" i="15"/>
  <c r="C12" i="14"/>
  <c r="D12"/>
  <c r="F12"/>
  <c r="G12"/>
  <c r="E66" i="16"/>
  <c r="C67"/>
  <c r="F25"/>
  <c r="R26"/>
  <c r="P60"/>
  <c r="O60"/>
  <c r="Y16" i="15"/>
  <c r="Y20"/>
  <c r="G10" i="20"/>
  <c r="B98"/>
  <c r="B9"/>
  <c r="C78" i="14"/>
  <c r="C77"/>
  <c r="C76"/>
  <c r="D21"/>
  <c r="AE50" i="16"/>
  <c r="AG50"/>
  <c r="AF50"/>
  <c r="F50"/>
  <c r="L50"/>
  <c r="J50"/>
  <c r="N50"/>
  <c r="B149" i="20"/>
  <c r="B10"/>
  <c r="C55"/>
  <c r="C7"/>
  <c r="F50" i="14"/>
  <c r="G50"/>
  <c r="O20" i="15"/>
  <c r="L25"/>
  <c r="O25"/>
  <c r="AK83" i="16"/>
  <c r="R63"/>
  <c r="F62"/>
  <c r="D66"/>
  <c r="R65"/>
  <c r="X16" i="15"/>
  <c r="X20"/>
  <c r="D41" i="21"/>
  <c r="F41"/>
  <c r="G41"/>
  <c r="D32"/>
  <c r="F32"/>
  <c r="G32"/>
  <c r="D42"/>
  <c r="F42"/>
  <c r="G42"/>
  <c r="D33"/>
  <c r="F33"/>
  <c r="G33"/>
  <c r="G44" i="14"/>
  <c r="H65"/>
  <c r="C162" i="20"/>
  <c r="C11"/>
  <c r="E19" i="15"/>
  <c r="P20"/>
  <c r="I37"/>
  <c r="D31" i="21"/>
  <c r="F31"/>
  <c r="G31"/>
  <c r="C30"/>
  <c r="F30"/>
  <c r="G30"/>
  <c r="E44"/>
  <c r="F44"/>
  <c r="G44"/>
  <c r="C42"/>
  <c r="C40"/>
  <c r="F40"/>
  <c r="G40"/>
  <c r="G45"/>
  <c r="H46"/>
  <c r="B255" i="20"/>
  <c r="B259"/>
  <c r="B17"/>
  <c r="C17"/>
  <c r="B246"/>
  <c r="B248"/>
  <c r="B16"/>
  <c r="C16"/>
  <c r="B222"/>
  <c r="B225"/>
  <c r="B15"/>
  <c r="C15"/>
  <c r="B190"/>
  <c r="B192"/>
  <c r="B13"/>
  <c r="C13"/>
  <c r="B178"/>
  <c r="B179"/>
  <c r="B12"/>
  <c r="C12"/>
  <c r="C147"/>
  <c r="C149"/>
  <c r="C10"/>
  <c r="B44"/>
  <c r="C81"/>
  <c r="C82"/>
  <c r="C8"/>
  <c r="C148"/>
  <c r="B94" i="22"/>
  <c r="B98"/>
  <c r="B9"/>
  <c r="C80"/>
  <c r="C79"/>
  <c r="C82"/>
  <c r="C8"/>
  <c r="C18"/>
  <c r="B53"/>
  <c r="B55"/>
  <c r="B7"/>
  <c r="B18"/>
  <c r="G4" i="14"/>
  <c r="K94"/>
  <c r="C10"/>
  <c r="E23" i="16"/>
  <c r="F24"/>
  <c r="G24"/>
  <c r="F26"/>
  <c r="F28"/>
  <c r="R22" i="15"/>
  <c r="R25"/>
  <c r="R27"/>
  <c r="AE44" i="16"/>
  <c r="AF44"/>
  <c r="AH44"/>
  <c r="AI44"/>
  <c r="AF46"/>
  <c r="AH46"/>
  <c r="AI46"/>
  <c r="Q27" i="15"/>
  <c r="Q25"/>
  <c r="Q22"/>
  <c r="Q20"/>
  <c r="L28"/>
  <c r="O28"/>
  <c r="G28"/>
  <c r="I25"/>
  <c r="P25"/>
  <c r="AE82" i="16"/>
  <c r="Y83"/>
  <c r="AG81"/>
  <c r="AH81"/>
  <c r="AI81"/>
  <c r="AG82"/>
  <c r="AH82"/>
  <c r="AI82"/>
  <c r="AF83"/>
  <c r="AH83"/>
  <c r="AI83"/>
  <c r="S60"/>
  <c r="F61"/>
  <c r="G61"/>
  <c r="E62"/>
  <c r="B46" i="20"/>
  <c r="B47"/>
  <c r="B6"/>
  <c r="F23" i="16"/>
  <c r="G48"/>
  <c r="G25"/>
  <c r="G23"/>
  <c r="H24"/>
  <c r="AM48"/>
  <c r="AK48"/>
  <c r="AL48"/>
  <c r="AC48"/>
  <c r="AN48"/>
  <c r="Z49"/>
  <c r="AA49"/>
  <c r="Y49"/>
  <c r="W49"/>
  <c r="U49"/>
  <c r="R49"/>
  <c r="E49"/>
  <c r="G49"/>
  <c r="AN49"/>
  <c r="AI49"/>
  <c r="AM45"/>
  <c r="AK45"/>
  <c r="AL45"/>
  <c r="AC45"/>
  <c r="AN45"/>
  <c r="R28"/>
  <c r="X28"/>
  <c r="V28"/>
  <c r="W25"/>
  <c r="U25"/>
  <c r="R25"/>
  <c r="S25"/>
  <c r="G62"/>
  <c r="AC83"/>
  <c r="O23"/>
  <c r="C18" i="20"/>
  <c r="Z50" i="16"/>
  <c r="E50"/>
  <c r="G50"/>
  <c r="K50"/>
  <c r="Y50"/>
  <c r="AA50"/>
  <c r="AB50"/>
  <c r="P28" i="15"/>
  <c r="Q28"/>
  <c r="R28"/>
  <c r="Z47" i="16"/>
  <c r="Y47"/>
  <c r="E47"/>
  <c r="G47"/>
  <c r="AN47"/>
  <c r="AA47"/>
  <c r="G60" i="14"/>
  <c r="G15"/>
  <c r="G59"/>
  <c r="G16"/>
  <c r="G14"/>
  <c r="G61"/>
  <c r="N19" i="15"/>
  <c r="R19"/>
  <c r="M19"/>
  <c r="Q19"/>
  <c r="P19"/>
  <c r="O19"/>
  <c r="X24"/>
  <c r="X22"/>
  <c r="F66" i="16"/>
  <c r="G66"/>
  <c r="D67"/>
  <c r="S63"/>
  <c r="S65"/>
  <c r="S66"/>
  <c r="Y22" i="15"/>
  <c r="Y24"/>
  <c r="S27" i="16"/>
  <c r="B18" i="20"/>
  <c r="I50" i="16"/>
  <c r="C13" i="14"/>
  <c r="C74"/>
  <c r="C75"/>
  <c r="D10"/>
  <c r="I42" i="15"/>
  <c r="E24"/>
  <c r="E30"/>
  <c r="G65" i="14"/>
  <c r="H67"/>
  <c r="G67"/>
  <c r="F21"/>
  <c r="D78"/>
  <c r="D77"/>
  <c r="D76"/>
  <c r="F76"/>
  <c r="G76"/>
  <c r="D18"/>
  <c r="E67" i="16"/>
  <c r="C68"/>
  <c r="G36" i="21"/>
  <c r="X21" i="15"/>
  <c r="AL83" i="16"/>
  <c r="S64"/>
  <c r="AH50"/>
  <c r="AI50"/>
  <c r="P12"/>
  <c r="Y21" i="15"/>
  <c r="H61" i="16"/>
  <c r="O61"/>
  <c r="O50"/>
  <c r="H25"/>
  <c r="I25"/>
  <c r="P23"/>
  <c r="AO45"/>
  <c r="AO48"/>
  <c r="AB49"/>
  <c r="F29"/>
  <c r="X29"/>
  <c r="V29"/>
  <c r="S26"/>
  <c r="E26"/>
  <c r="G26"/>
  <c r="H26"/>
  <c r="W26"/>
  <c r="U26"/>
  <c r="S28"/>
  <c r="C73" i="14"/>
  <c r="R96"/>
  <c r="P12" i="15"/>
  <c r="AO84" i="16"/>
  <c r="F18" i="14"/>
  <c r="G18"/>
  <c r="F78"/>
  <c r="G21"/>
  <c r="E42" i="15"/>
  <c r="E37"/>
  <c r="Y23"/>
  <c r="F67" i="16"/>
  <c r="D68"/>
  <c r="R67"/>
  <c r="X23" i="15"/>
  <c r="AK50" i="16"/>
  <c r="AL50"/>
  <c r="AC50"/>
  <c r="AO50"/>
  <c r="AM50"/>
  <c r="N25"/>
  <c r="I24"/>
  <c r="J24"/>
  <c r="M24"/>
  <c r="N24"/>
  <c r="K24"/>
  <c r="G67"/>
  <c r="P50"/>
  <c r="AO83"/>
  <c r="AB47"/>
  <c r="K61"/>
  <c r="M61"/>
  <c r="J61"/>
  <c r="I61"/>
  <c r="AA68"/>
  <c r="Z68"/>
  <c r="K68"/>
  <c r="C69"/>
  <c r="I68"/>
  <c r="E68"/>
  <c r="Y68"/>
  <c r="O24" i="15"/>
  <c r="O30"/>
  <c r="L30"/>
  <c r="R24"/>
  <c r="M24"/>
  <c r="M30"/>
  <c r="J30"/>
  <c r="Q24"/>
  <c r="P24"/>
  <c r="N24"/>
  <c r="N30"/>
  <c r="K30"/>
  <c r="D13" i="14"/>
  <c r="F10"/>
  <c r="D75"/>
  <c r="AN50" i="16"/>
  <c r="G14"/>
  <c r="P13"/>
  <c r="R97" i="14"/>
  <c r="P61" i="16"/>
  <c r="H62"/>
  <c r="K25"/>
  <c r="M25"/>
  <c r="J25"/>
  <c r="AM49"/>
  <c r="AK49"/>
  <c r="AL49"/>
  <c r="AC49"/>
  <c r="AO49"/>
  <c r="F30"/>
  <c r="R30"/>
  <c r="X30"/>
  <c r="V30"/>
  <c r="N26"/>
  <c r="P26"/>
  <c r="J26"/>
  <c r="K26"/>
  <c r="M26"/>
  <c r="E27"/>
  <c r="G27"/>
  <c r="H27"/>
  <c r="I27"/>
  <c r="W27"/>
  <c r="U27"/>
  <c r="I26"/>
  <c r="L26"/>
  <c r="M62"/>
  <c r="K62"/>
  <c r="J62"/>
  <c r="I62"/>
  <c r="O62"/>
  <c r="P62"/>
  <c r="H63"/>
  <c r="G10" i="14"/>
  <c r="F75"/>
  <c r="G75"/>
  <c r="AC47" i="16"/>
  <c r="AO47"/>
  <c r="AK47"/>
  <c r="AL47"/>
  <c r="AM47"/>
  <c r="D74" i="14"/>
  <c r="D73"/>
  <c r="F73"/>
  <c r="G73"/>
  <c r="F13"/>
  <c r="F74"/>
  <c r="G74"/>
  <c r="S67" i="16"/>
  <c r="O42" i="15"/>
  <c r="N42"/>
  <c r="Q42"/>
  <c r="P42"/>
  <c r="M42"/>
  <c r="R42"/>
  <c r="G78" i="14"/>
  <c r="F77"/>
  <c r="G77"/>
  <c r="AB68" i="16"/>
  <c r="E69"/>
  <c r="R69"/>
  <c r="Z69"/>
  <c r="C70"/>
  <c r="AA69"/>
  <c r="AB69"/>
  <c r="Y69"/>
  <c r="L27"/>
  <c r="O24"/>
  <c r="P24"/>
  <c r="P25"/>
  <c r="O25"/>
  <c r="AG68"/>
  <c r="AF68"/>
  <c r="AE68"/>
  <c r="J68"/>
  <c r="F68"/>
  <c r="G68"/>
  <c r="L68"/>
  <c r="D69"/>
  <c r="U85" i="14"/>
  <c r="V85"/>
  <c r="N37" i="15"/>
  <c r="P37"/>
  <c r="O37"/>
  <c r="O48"/>
  <c r="Q37"/>
  <c r="R37"/>
  <c r="E48"/>
  <c r="M37"/>
  <c r="M48"/>
  <c r="N48"/>
  <c r="O26" i="16"/>
  <c r="N27"/>
  <c r="O27"/>
  <c r="K27"/>
  <c r="F31"/>
  <c r="X31"/>
  <c r="V31"/>
  <c r="AF31"/>
  <c r="J31"/>
  <c r="AG31"/>
  <c r="AH31"/>
  <c r="AI31"/>
  <c r="AE31"/>
  <c r="L31"/>
  <c r="M27"/>
  <c r="J27"/>
  <c r="E28"/>
  <c r="G28"/>
  <c r="H28"/>
  <c r="N28"/>
  <c r="W28"/>
  <c r="U28"/>
  <c r="P27"/>
  <c r="AK68"/>
  <c r="AL68"/>
  <c r="AM68"/>
  <c r="AC68"/>
  <c r="AO68"/>
  <c r="L63"/>
  <c r="K63"/>
  <c r="O63"/>
  <c r="M63"/>
  <c r="J63"/>
  <c r="I63"/>
  <c r="H64"/>
  <c r="P63"/>
  <c r="AC69"/>
  <c r="AO69"/>
  <c r="AK69"/>
  <c r="AL69"/>
  <c r="AN68"/>
  <c r="O68"/>
  <c r="D70"/>
  <c r="AG69"/>
  <c r="AE69"/>
  <c r="AF69"/>
  <c r="F69"/>
  <c r="G69"/>
  <c r="H69"/>
  <c r="E70"/>
  <c r="C71"/>
  <c r="Z70"/>
  <c r="AA70"/>
  <c r="Y70"/>
  <c r="J48" i="15"/>
  <c r="L48"/>
  <c r="K48"/>
  <c r="AH68" i="16"/>
  <c r="AI68"/>
  <c r="M28"/>
  <c r="J28"/>
  <c r="I28"/>
  <c r="F32"/>
  <c r="AE32"/>
  <c r="X32"/>
  <c r="V32"/>
  <c r="AF32"/>
  <c r="AG32"/>
  <c r="AH32"/>
  <c r="AI32"/>
  <c r="K28"/>
  <c r="L28"/>
  <c r="W29"/>
  <c r="U29"/>
  <c r="E29"/>
  <c r="G29"/>
  <c r="H29"/>
  <c r="I29"/>
  <c r="R29"/>
  <c r="AB70"/>
  <c r="AK70"/>
  <c r="AL70"/>
  <c r="T42" i="15"/>
  <c r="T37"/>
  <c r="S42"/>
  <c r="I69" i="16"/>
  <c r="M69"/>
  <c r="J69"/>
  <c r="K69"/>
  <c r="L69"/>
  <c r="M64"/>
  <c r="I64"/>
  <c r="J64"/>
  <c r="K64"/>
  <c r="L64"/>
  <c r="P64"/>
  <c r="O64"/>
  <c r="H65"/>
  <c r="T43" i="15"/>
  <c r="T39"/>
  <c r="T41"/>
  <c r="T44"/>
  <c r="T46"/>
  <c r="T26"/>
  <c r="U26"/>
  <c r="U23"/>
  <c r="U46"/>
  <c r="U39"/>
  <c r="U38"/>
  <c r="T40"/>
  <c r="T45"/>
  <c r="T23"/>
  <c r="T21"/>
  <c r="U43"/>
  <c r="U20"/>
  <c r="U21"/>
  <c r="U40"/>
  <c r="T38"/>
  <c r="T48"/>
  <c r="U45"/>
  <c r="U41"/>
  <c r="U44"/>
  <c r="U25"/>
  <c r="T27"/>
  <c r="U22"/>
  <c r="T20"/>
  <c r="T22"/>
  <c r="U27"/>
  <c r="T25"/>
  <c r="T19"/>
  <c r="U19"/>
  <c r="T28"/>
  <c r="U28"/>
  <c r="T24"/>
  <c r="U24"/>
  <c r="R70" i="16"/>
  <c r="F70"/>
  <c r="G70"/>
  <c r="AE70"/>
  <c r="D71"/>
  <c r="AF70"/>
  <c r="AG70"/>
  <c r="AH70"/>
  <c r="AH69"/>
  <c r="AI69"/>
  <c r="P68"/>
  <c r="U42" i="15"/>
  <c r="AN69" i="16"/>
  <c r="O69"/>
  <c r="S23" i="15"/>
  <c r="S38"/>
  <c r="S44"/>
  <c r="S46"/>
  <c r="S39"/>
  <c r="S45"/>
  <c r="S26"/>
  <c r="S27"/>
  <c r="S41"/>
  <c r="S21"/>
  <c r="S22"/>
  <c r="S40"/>
  <c r="S43"/>
  <c r="S25"/>
  <c r="S20"/>
  <c r="S19"/>
  <c r="S28"/>
  <c r="S24"/>
  <c r="AC70" i="16"/>
  <c r="AO70"/>
  <c r="E71"/>
  <c r="R71"/>
  <c r="Z71"/>
  <c r="C72"/>
  <c r="AA71"/>
  <c r="AB71"/>
  <c r="Y71"/>
  <c r="O28"/>
  <c r="P28"/>
  <c r="U37" i="15"/>
  <c r="AM69" i="16"/>
  <c r="S37" i="15"/>
  <c r="H70" i="16"/>
  <c r="AM70"/>
  <c r="P69"/>
  <c r="N29"/>
  <c r="U48" i="15"/>
  <c r="X33" i="16"/>
  <c r="V33"/>
  <c r="AG33"/>
  <c r="AE33"/>
  <c r="AF33"/>
  <c r="F33"/>
  <c r="R33"/>
  <c r="J29"/>
  <c r="M29"/>
  <c r="S30"/>
  <c r="S29"/>
  <c r="W30"/>
  <c r="U30"/>
  <c r="E30"/>
  <c r="G30"/>
  <c r="H30"/>
  <c r="L30"/>
  <c r="K29"/>
  <c r="L29"/>
  <c r="Y26" i="15"/>
  <c r="S48"/>
  <c r="X26"/>
  <c r="I70" i="16"/>
  <c r="J70"/>
  <c r="M70"/>
  <c r="K70"/>
  <c r="AA72"/>
  <c r="Y72"/>
  <c r="E72"/>
  <c r="C73"/>
  <c r="Z72"/>
  <c r="L65"/>
  <c r="I65"/>
  <c r="M65"/>
  <c r="O65"/>
  <c r="J65"/>
  <c r="K65"/>
  <c r="H66"/>
  <c r="P65"/>
  <c r="S30" i="15"/>
  <c r="AI70" i="16"/>
  <c r="T30" i="15"/>
  <c r="AC71" i="16"/>
  <c r="AO71"/>
  <c r="AK71"/>
  <c r="AL71"/>
  <c r="P70"/>
  <c r="AN70"/>
  <c r="O70"/>
  <c r="P29"/>
  <c r="O29"/>
  <c r="F71"/>
  <c r="G71"/>
  <c r="AE71"/>
  <c r="AG71"/>
  <c r="D72"/>
  <c r="AF71"/>
  <c r="L70"/>
  <c r="U30" i="15"/>
  <c r="H71" i="16"/>
  <c r="M71"/>
  <c r="AM71"/>
  <c r="J30"/>
  <c r="X34"/>
  <c r="V34"/>
  <c r="F34"/>
  <c r="AG34"/>
  <c r="AE34"/>
  <c r="AF34"/>
  <c r="AH33"/>
  <c r="AI33"/>
  <c r="I30"/>
  <c r="N30"/>
  <c r="O30"/>
  <c r="W31"/>
  <c r="U31"/>
  <c r="E31"/>
  <c r="G31"/>
  <c r="Z31"/>
  <c r="K31"/>
  <c r="Y31"/>
  <c r="I31"/>
  <c r="AA31"/>
  <c r="AB31"/>
  <c r="K30"/>
  <c r="M30"/>
  <c r="J71"/>
  <c r="I71"/>
  <c r="K71"/>
  <c r="L71"/>
  <c r="R72"/>
  <c r="F72"/>
  <c r="G72"/>
  <c r="AE72"/>
  <c r="AG72"/>
  <c r="D73"/>
  <c r="AF72"/>
  <c r="J66"/>
  <c r="I66"/>
  <c r="K66"/>
  <c r="M66"/>
  <c r="L66"/>
  <c r="P66"/>
  <c r="O66"/>
  <c r="H67"/>
  <c r="E73"/>
  <c r="AA73"/>
  <c r="Y73"/>
  <c r="C74"/>
  <c r="Z73"/>
  <c r="P10" i="15"/>
  <c r="Y25"/>
  <c r="X25"/>
  <c r="AH71" i="16"/>
  <c r="AI71"/>
  <c r="AB72"/>
  <c r="P71"/>
  <c r="AN71"/>
  <c r="O71"/>
  <c r="Y28" i="15"/>
  <c r="AB73" i="16"/>
  <c r="P30"/>
  <c r="X35"/>
  <c r="V35"/>
  <c r="F35"/>
  <c r="AF35"/>
  <c r="AE35"/>
  <c r="AG35"/>
  <c r="R35"/>
  <c r="AH34"/>
  <c r="AI34"/>
  <c r="AK31"/>
  <c r="AL31"/>
  <c r="AC31"/>
  <c r="AO31"/>
  <c r="AM31"/>
  <c r="W32"/>
  <c r="U32"/>
  <c r="E32"/>
  <c r="G32"/>
  <c r="H32"/>
  <c r="K32"/>
  <c r="Z32"/>
  <c r="Y32"/>
  <c r="AA32"/>
  <c r="R32"/>
  <c r="P31"/>
  <c r="AN31"/>
  <c r="O31"/>
  <c r="Q31"/>
  <c r="R31"/>
  <c r="AN72"/>
  <c r="AC72"/>
  <c r="AO72"/>
  <c r="AK72"/>
  <c r="AL72"/>
  <c r="AM72"/>
  <c r="Y32" i="15"/>
  <c r="Y33"/>
  <c r="Y27"/>
  <c r="E74" i="16"/>
  <c r="C75"/>
  <c r="Z74"/>
  <c r="R74"/>
  <c r="AA74"/>
  <c r="AB74"/>
  <c r="Y74"/>
  <c r="AK73"/>
  <c r="AL73"/>
  <c r="AC73"/>
  <c r="AO73"/>
  <c r="J67"/>
  <c r="M67"/>
  <c r="I67"/>
  <c r="K67"/>
  <c r="L67"/>
  <c r="P67"/>
  <c r="O67"/>
  <c r="R68"/>
  <c r="F73"/>
  <c r="G73"/>
  <c r="D74"/>
  <c r="AE73"/>
  <c r="AG73"/>
  <c r="AF73"/>
  <c r="R91" i="14"/>
  <c r="S91"/>
  <c r="X27" i="15"/>
  <c r="X32"/>
  <c r="X33"/>
  <c r="R94" i="14"/>
  <c r="P10" i="16"/>
  <c r="H72"/>
  <c r="AH72"/>
  <c r="AI72"/>
  <c r="P72"/>
  <c r="AB32"/>
  <c r="AC32"/>
  <c r="AO32"/>
  <c r="X36"/>
  <c r="V36"/>
  <c r="F36"/>
  <c r="AE36"/>
  <c r="AF36"/>
  <c r="AG36"/>
  <c r="AH35"/>
  <c r="AI35"/>
  <c r="L32"/>
  <c r="N32"/>
  <c r="J32"/>
  <c r="I32"/>
  <c r="M32"/>
  <c r="AK32"/>
  <c r="AL32"/>
  <c r="AN32"/>
  <c r="S33"/>
  <c r="S31"/>
  <c r="S32"/>
  <c r="W33"/>
  <c r="U33"/>
  <c r="E33"/>
  <c r="G33"/>
  <c r="Z33"/>
  <c r="Y33"/>
  <c r="AA33"/>
  <c r="AB33"/>
  <c r="Y29" i="15"/>
  <c r="P11"/>
  <c r="R95" i="14"/>
  <c r="AN73" i="16"/>
  <c r="AM73"/>
  <c r="F74"/>
  <c r="G74"/>
  <c r="D75"/>
  <c r="AE74"/>
  <c r="AG74"/>
  <c r="AF74"/>
  <c r="AH73"/>
  <c r="AI73"/>
  <c r="J72"/>
  <c r="M72"/>
  <c r="I72"/>
  <c r="K72"/>
  <c r="L72"/>
  <c r="P11"/>
  <c r="R98" i="14"/>
  <c r="G102"/>
  <c r="S71" i="16"/>
  <c r="S72"/>
  <c r="S69"/>
  <c r="S68"/>
  <c r="S70"/>
  <c r="AC74"/>
  <c r="AO74"/>
  <c r="AK74"/>
  <c r="AL74"/>
  <c r="E75"/>
  <c r="AA75"/>
  <c r="Y75"/>
  <c r="C76"/>
  <c r="Z75"/>
  <c r="O72"/>
  <c r="AM32"/>
  <c r="X37"/>
  <c r="V37"/>
  <c r="F37"/>
  <c r="AE37"/>
  <c r="AG37"/>
  <c r="AF37"/>
  <c r="AH36"/>
  <c r="AI36"/>
  <c r="AN33"/>
  <c r="O32"/>
  <c r="P32"/>
  <c r="AK33"/>
  <c r="AL33"/>
  <c r="AC33"/>
  <c r="AO33"/>
  <c r="AM33"/>
  <c r="H33"/>
  <c r="W34"/>
  <c r="U34"/>
  <c r="R34"/>
  <c r="Z34"/>
  <c r="Y34"/>
  <c r="E34"/>
  <c r="G34"/>
  <c r="AA34"/>
  <c r="AB34"/>
  <c r="AN74"/>
  <c r="AM74"/>
  <c r="E76"/>
  <c r="AA76"/>
  <c r="Y76"/>
  <c r="R76"/>
  <c r="C77"/>
  <c r="Z76"/>
  <c r="F75"/>
  <c r="G75"/>
  <c r="R75"/>
  <c r="AE75"/>
  <c r="D76"/>
  <c r="AG75"/>
  <c r="AF75"/>
  <c r="AB75"/>
  <c r="AH74"/>
  <c r="AI74"/>
  <c r="F12"/>
  <c r="F12" i="15"/>
  <c r="AH37" i="16"/>
  <c r="AI37"/>
  <c r="X38"/>
  <c r="V38"/>
  <c r="AF38"/>
  <c r="AE38"/>
  <c r="F38"/>
  <c r="R38"/>
  <c r="AG38"/>
  <c r="W35"/>
  <c r="U35"/>
  <c r="AA35"/>
  <c r="E35"/>
  <c r="G35"/>
  <c r="AN35"/>
  <c r="Y35"/>
  <c r="Z35"/>
  <c r="S34"/>
  <c r="S35"/>
  <c r="AK34"/>
  <c r="AL34"/>
  <c r="AC34"/>
  <c r="AO34"/>
  <c r="AM34"/>
  <c r="AN34"/>
  <c r="I33"/>
  <c r="N33"/>
  <c r="L33"/>
  <c r="J33"/>
  <c r="M33"/>
  <c r="K33"/>
  <c r="H34"/>
  <c r="AB76"/>
  <c r="AK76"/>
  <c r="AL76"/>
  <c r="AN75"/>
  <c r="AC75"/>
  <c r="AO75"/>
  <c r="AM75"/>
  <c r="AK75"/>
  <c r="AL75"/>
  <c r="AH75"/>
  <c r="AI75"/>
  <c r="F76"/>
  <c r="G76"/>
  <c r="D77"/>
  <c r="AE76"/>
  <c r="AG76"/>
  <c r="AF76"/>
  <c r="E77"/>
  <c r="AA77"/>
  <c r="Y77"/>
  <c r="C78"/>
  <c r="Z77"/>
  <c r="AC76"/>
  <c r="AO76"/>
  <c r="AH38"/>
  <c r="AI38"/>
  <c r="X39"/>
  <c r="V39"/>
  <c r="AG39"/>
  <c r="F39"/>
  <c r="AF39"/>
  <c r="AE39"/>
  <c r="AB35"/>
  <c r="AC35"/>
  <c r="AO35"/>
  <c r="P33"/>
  <c r="O33"/>
  <c r="W36"/>
  <c r="U36"/>
  <c r="Z36"/>
  <c r="E36"/>
  <c r="G36"/>
  <c r="AA36"/>
  <c r="Y36"/>
  <c r="K34"/>
  <c r="N34"/>
  <c r="J34"/>
  <c r="I34"/>
  <c r="M34"/>
  <c r="L34"/>
  <c r="H35"/>
  <c r="AN76"/>
  <c r="AM76"/>
  <c r="F77"/>
  <c r="G77"/>
  <c r="D78"/>
  <c r="AG77"/>
  <c r="AF77"/>
  <c r="R77"/>
  <c r="AE77"/>
  <c r="AB77"/>
  <c r="AH76"/>
  <c r="AI76"/>
  <c r="AA78"/>
  <c r="Y78"/>
  <c r="I78"/>
  <c r="E78"/>
  <c r="C79"/>
  <c r="Z78"/>
  <c r="K78"/>
  <c r="AM35"/>
  <c r="AK35"/>
  <c r="AL35"/>
  <c r="X40"/>
  <c r="V40"/>
  <c r="R40"/>
  <c r="AF40"/>
  <c r="AE40"/>
  <c r="F40"/>
  <c r="AG40"/>
  <c r="AH40"/>
  <c r="AI40"/>
  <c r="AH39"/>
  <c r="AI39"/>
  <c r="P34"/>
  <c r="O34"/>
  <c r="K35"/>
  <c r="H36"/>
  <c r="J35"/>
  <c r="M35"/>
  <c r="I35"/>
  <c r="N35"/>
  <c r="L35"/>
  <c r="W37"/>
  <c r="U37"/>
  <c r="Y37"/>
  <c r="Z37"/>
  <c r="E37"/>
  <c r="G37"/>
  <c r="AN37"/>
  <c r="AA37"/>
  <c r="AB37"/>
  <c r="R37"/>
  <c r="AB36"/>
  <c r="AN36"/>
  <c r="AB78"/>
  <c r="AH77"/>
  <c r="AI77"/>
  <c r="E79"/>
  <c r="R79"/>
  <c r="Z79"/>
  <c r="C80"/>
  <c r="AA79"/>
  <c r="Y79"/>
  <c r="AN77"/>
  <c r="AC77"/>
  <c r="AO77"/>
  <c r="AM77"/>
  <c r="AK77"/>
  <c r="AL77"/>
  <c r="F78"/>
  <c r="G78"/>
  <c r="AE78"/>
  <c r="J78"/>
  <c r="D79"/>
  <c r="AG78"/>
  <c r="L78"/>
  <c r="AF78"/>
  <c r="AC78"/>
  <c r="AO78"/>
  <c r="AK78"/>
  <c r="AL78"/>
  <c r="X41"/>
  <c r="V41"/>
  <c r="J41"/>
  <c r="AF41"/>
  <c r="F41"/>
  <c r="L41"/>
  <c r="AG41"/>
  <c r="AH41"/>
  <c r="AI41"/>
  <c r="AE41"/>
  <c r="H37"/>
  <c r="I37"/>
  <c r="Q36"/>
  <c r="K37"/>
  <c r="AC36"/>
  <c r="AO36"/>
  <c r="AM36"/>
  <c r="AK36"/>
  <c r="AL36"/>
  <c r="AC37"/>
  <c r="AO37"/>
  <c r="AM37"/>
  <c r="AK37"/>
  <c r="AL37"/>
  <c r="W38"/>
  <c r="U38"/>
  <c r="E38"/>
  <c r="G38"/>
  <c r="AA38"/>
  <c r="Z38"/>
  <c r="Y38"/>
  <c r="O35"/>
  <c r="P35"/>
  <c r="K36"/>
  <c r="R36"/>
  <c r="I36"/>
  <c r="N36"/>
  <c r="H73"/>
  <c r="J36"/>
  <c r="M36"/>
  <c r="L36"/>
  <c r="AN78"/>
  <c r="O78"/>
  <c r="AM78"/>
  <c r="F79"/>
  <c r="G79"/>
  <c r="AG79"/>
  <c r="D80"/>
  <c r="AF79"/>
  <c r="AE79"/>
  <c r="AH78"/>
  <c r="AI78"/>
  <c r="AB79"/>
  <c r="C81"/>
  <c r="AA80"/>
  <c r="E80"/>
  <c r="Z80"/>
  <c r="Y80"/>
  <c r="AB80"/>
  <c r="J37"/>
  <c r="M37"/>
  <c r="X42"/>
  <c r="V42"/>
  <c r="AF42"/>
  <c r="AE42"/>
  <c r="AG42"/>
  <c r="AH42"/>
  <c r="F42"/>
  <c r="L37"/>
  <c r="N37"/>
  <c r="O37"/>
  <c r="AB38"/>
  <c r="AK38"/>
  <c r="AL38"/>
  <c r="S36"/>
  <c r="S37"/>
  <c r="S38"/>
  <c r="H74"/>
  <c r="P73"/>
  <c r="J73"/>
  <c r="K73"/>
  <c r="O73"/>
  <c r="I73"/>
  <c r="M73"/>
  <c r="L73"/>
  <c r="R73"/>
  <c r="W39"/>
  <c r="U39"/>
  <c r="R39"/>
  <c r="S40"/>
  <c r="Y39"/>
  <c r="Z39"/>
  <c r="E39"/>
  <c r="G39"/>
  <c r="AA39"/>
  <c r="H38"/>
  <c r="AN38"/>
  <c r="O36"/>
  <c r="P36"/>
  <c r="AC38"/>
  <c r="AO38"/>
  <c r="AN79"/>
  <c r="R81"/>
  <c r="E81"/>
  <c r="G81"/>
  <c r="Z81"/>
  <c r="Y81"/>
  <c r="C82"/>
  <c r="AA81"/>
  <c r="R80"/>
  <c r="AG80"/>
  <c r="F80"/>
  <c r="G80"/>
  <c r="AM80"/>
  <c r="AF80"/>
  <c r="AE80"/>
  <c r="P78"/>
  <c r="H79"/>
  <c r="AC80"/>
  <c r="AO80"/>
  <c r="AK80"/>
  <c r="AL80"/>
  <c r="AK79"/>
  <c r="AL79"/>
  <c r="AC79"/>
  <c r="AO79"/>
  <c r="AM79"/>
  <c r="AH79"/>
  <c r="AI79"/>
  <c r="P37"/>
  <c r="AM38"/>
  <c r="AI42"/>
  <c r="X43"/>
  <c r="V43"/>
  <c r="AE43"/>
  <c r="R43"/>
  <c r="AG43"/>
  <c r="F43"/>
  <c r="AF43"/>
  <c r="AB39"/>
  <c r="AC39"/>
  <c r="AO39"/>
  <c r="W40"/>
  <c r="U40"/>
  <c r="Y40"/>
  <c r="E40"/>
  <c r="G40"/>
  <c r="AN40"/>
  <c r="AA40"/>
  <c r="Z40"/>
  <c r="S39"/>
  <c r="J38"/>
  <c r="N38"/>
  <c r="L38"/>
  <c r="M38"/>
  <c r="I38"/>
  <c r="K38"/>
  <c r="H39"/>
  <c r="AN39"/>
  <c r="S76"/>
  <c r="S74"/>
  <c r="S75"/>
  <c r="S73"/>
  <c r="S77"/>
  <c r="M74"/>
  <c r="K74"/>
  <c r="J74"/>
  <c r="I74"/>
  <c r="O74"/>
  <c r="L74"/>
  <c r="H75"/>
  <c r="P74"/>
  <c r="AB81"/>
  <c r="J79"/>
  <c r="M79"/>
  <c r="I79"/>
  <c r="K79"/>
  <c r="L79"/>
  <c r="AN80"/>
  <c r="AK81"/>
  <c r="AL81"/>
  <c r="AC81"/>
  <c r="AO81"/>
  <c r="AM81"/>
  <c r="AH80"/>
  <c r="AI80"/>
  <c r="P79"/>
  <c r="AA82"/>
  <c r="R83"/>
  <c r="E82"/>
  <c r="G82"/>
  <c r="R82"/>
  <c r="Z82"/>
  <c r="Y82"/>
  <c r="AN81"/>
  <c r="O79"/>
  <c r="H80"/>
  <c r="H81"/>
  <c r="H40"/>
  <c r="AH43"/>
  <c r="AI43"/>
  <c r="AK39"/>
  <c r="AL39"/>
  <c r="AM39"/>
  <c r="AB40"/>
  <c r="I75"/>
  <c r="L75"/>
  <c r="J75"/>
  <c r="K75"/>
  <c r="H76"/>
  <c r="P75"/>
  <c r="M75"/>
  <c r="O75"/>
  <c r="J40"/>
  <c r="N40"/>
  <c r="L40"/>
  <c r="M40"/>
  <c r="I40"/>
  <c r="N39"/>
  <c r="J39"/>
  <c r="L39"/>
  <c r="I39"/>
  <c r="M39"/>
  <c r="K39"/>
  <c r="P38"/>
  <c r="O38"/>
  <c r="W41"/>
  <c r="U41"/>
  <c r="AA41"/>
  <c r="K41"/>
  <c r="I41"/>
  <c r="E41"/>
  <c r="G41"/>
  <c r="Z41"/>
  <c r="Y41"/>
  <c r="K40"/>
  <c r="AB82"/>
  <c r="P81"/>
  <c r="O81"/>
  <c r="P80"/>
  <c r="I80"/>
  <c r="J80"/>
  <c r="M80"/>
  <c r="K80"/>
  <c r="L80"/>
  <c r="AN82"/>
  <c r="H82"/>
  <c r="P82"/>
  <c r="O80"/>
  <c r="AC82"/>
  <c r="AO82"/>
  <c r="AK82"/>
  <c r="AL82"/>
  <c r="AM82"/>
  <c r="J81"/>
  <c r="M81"/>
  <c r="L81"/>
  <c r="I81"/>
  <c r="K81"/>
  <c r="W42"/>
  <c r="U42"/>
  <c r="E42"/>
  <c r="G42"/>
  <c r="Y42"/>
  <c r="R42"/>
  <c r="Z42"/>
  <c r="AA42"/>
  <c r="AB42"/>
  <c r="P41"/>
  <c r="AN41"/>
  <c r="Q41"/>
  <c r="P40"/>
  <c r="O40"/>
  <c r="AC40"/>
  <c r="AO40"/>
  <c r="AM40"/>
  <c r="AK40"/>
  <c r="AL40"/>
  <c r="R41"/>
  <c r="P39"/>
  <c r="O39"/>
  <c r="M76"/>
  <c r="K76"/>
  <c r="O76"/>
  <c r="J76"/>
  <c r="I76"/>
  <c r="L76"/>
  <c r="H77"/>
  <c r="P76"/>
  <c r="AB41"/>
  <c r="O41"/>
  <c r="H83"/>
  <c r="J83"/>
  <c r="J82"/>
  <c r="M82"/>
  <c r="I82"/>
  <c r="L82"/>
  <c r="K82"/>
  <c r="O82"/>
  <c r="R44"/>
  <c r="S45"/>
  <c r="R46"/>
  <c r="R47"/>
  <c r="S48"/>
  <c r="S49"/>
  <c r="R84"/>
  <c r="M83"/>
  <c r="P83"/>
  <c r="R78"/>
  <c r="M77"/>
  <c r="K77"/>
  <c r="P77"/>
  <c r="J77"/>
  <c r="I77"/>
  <c r="L77"/>
  <c r="O77"/>
  <c r="S41"/>
  <c r="S42"/>
  <c r="S43"/>
  <c r="I42"/>
  <c r="M42"/>
  <c r="N42"/>
  <c r="J42"/>
  <c r="L42"/>
  <c r="W43"/>
  <c r="U43"/>
  <c r="E43"/>
  <c r="G43"/>
  <c r="AA43"/>
  <c r="Z43"/>
  <c r="Y43"/>
  <c r="K42"/>
  <c r="AN42"/>
  <c r="K43"/>
  <c r="AM41"/>
  <c r="AC41"/>
  <c r="AO41"/>
  <c r="AK41"/>
  <c r="AL41"/>
  <c r="AC42"/>
  <c r="AO42"/>
  <c r="AM42"/>
  <c r="AK42"/>
  <c r="AL42"/>
  <c r="K83"/>
  <c r="L83"/>
  <c r="I83"/>
  <c r="O83"/>
  <c r="S84"/>
  <c r="S86"/>
  <c r="W44"/>
  <c r="U44"/>
  <c r="Z44"/>
  <c r="E44"/>
  <c r="G44"/>
  <c r="Y44"/>
  <c r="S44"/>
  <c r="AA44"/>
  <c r="AB44"/>
  <c r="P42"/>
  <c r="O42"/>
  <c r="N43"/>
  <c r="J43"/>
  <c r="L43"/>
  <c r="I43"/>
  <c r="M43"/>
  <c r="AN43"/>
  <c r="S79"/>
  <c r="S78"/>
  <c r="S81"/>
  <c r="S80"/>
  <c r="S82"/>
  <c r="S83"/>
  <c r="AB43"/>
  <c r="N44"/>
  <c r="L44"/>
  <c r="J44"/>
  <c r="M44"/>
  <c r="I44"/>
  <c r="P43"/>
  <c r="O43"/>
  <c r="W46"/>
  <c r="U46"/>
  <c r="Y46"/>
  <c r="S46"/>
  <c r="S47"/>
  <c r="S52"/>
  <c r="AA46"/>
  <c r="E46"/>
  <c r="G46"/>
  <c r="AN46"/>
  <c r="Z46"/>
  <c r="AN44"/>
  <c r="AC43"/>
  <c r="AO43"/>
  <c r="AK43"/>
  <c r="AL43"/>
  <c r="AM43"/>
  <c r="AK44"/>
  <c r="AL44"/>
  <c r="AC44"/>
  <c r="AO44"/>
  <c r="AM44"/>
  <c r="K44"/>
  <c r="N45"/>
  <c r="J45"/>
  <c r="I45"/>
  <c r="L45"/>
  <c r="M45"/>
  <c r="K45"/>
  <c r="P44"/>
  <c r="O44"/>
  <c r="AB46"/>
  <c r="M48"/>
  <c r="N48"/>
  <c r="L48"/>
  <c r="I48"/>
  <c r="J48"/>
  <c r="K48"/>
  <c r="P45"/>
  <c r="O45"/>
  <c r="AC46"/>
  <c r="AO46"/>
  <c r="AK46"/>
  <c r="AL46"/>
  <c r="AM46"/>
  <c r="L46"/>
  <c r="M46"/>
  <c r="I46"/>
  <c r="J46"/>
  <c r="N46"/>
  <c r="K46"/>
  <c r="P48"/>
  <c r="O48"/>
  <c r="N49"/>
  <c r="M49"/>
  <c r="L49"/>
  <c r="J49"/>
  <c r="I49"/>
  <c r="K49"/>
  <c r="J47"/>
  <c r="N47"/>
  <c r="L47"/>
  <c r="Q50"/>
  <c r="I47"/>
  <c r="M47"/>
  <c r="K47"/>
  <c r="O46"/>
  <c r="P46"/>
  <c r="P49"/>
  <c r="O49"/>
  <c r="O47"/>
  <c r="P47"/>
</calcChain>
</file>

<file path=xl/sharedStrings.xml><?xml version="1.0" encoding="utf-8"?>
<sst xmlns="http://schemas.openxmlformats.org/spreadsheetml/2006/main" count="1444" uniqueCount="595">
  <si>
    <t>in. Dia</t>
  </si>
  <si>
    <t>Height</t>
  </si>
  <si>
    <t>Wire Mass Rate</t>
  </si>
  <si>
    <t>kg/m</t>
  </si>
  <si>
    <t>kg</t>
  </si>
  <si>
    <r>
      <t>kgm</t>
    </r>
    <r>
      <rPr>
        <vertAlign val="superscript"/>
        <sz val="8"/>
        <rFont val="Arial"/>
        <family val="2"/>
      </rPr>
      <t>2</t>
    </r>
  </si>
  <si>
    <t>Outer Puck Wire</t>
  </si>
  <si>
    <t>m</t>
  </si>
  <si>
    <t>Outer Sphere</t>
  </si>
  <si>
    <t>Sphere Start Radius</t>
  </si>
  <si>
    <t>Wire Hinge Radius</t>
  </si>
  <si>
    <t>Wire Velocity</t>
  </si>
  <si>
    <t>m/sec</t>
  </si>
  <si>
    <t>CALCULATED DEPLOYMENT EVENTS</t>
  </si>
  <si>
    <t xml:space="preserve"> IN-PLANE MODES</t>
  </si>
  <si>
    <t>OUT OF PLANE MODES</t>
  </si>
  <si>
    <t xml:space="preserve">  1st</t>
  </si>
  <si>
    <t xml:space="preserve">  2nd</t>
  </si>
  <si>
    <t xml:space="preserve"> Ctr of</t>
  </si>
  <si>
    <t xml:space="preserve"> Effective</t>
  </si>
  <si>
    <t xml:space="preserve"> Total</t>
  </si>
  <si>
    <t xml:space="preserve">  SPIN </t>
  </si>
  <si>
    <t>Centri</t>
  </si>
  <si>
    <t xml:space="preserve"> Wire </t>
  </si>
  <si>
    <t>Deploy</t>
  </si>
  <si>
    <t xml:space="preserve"> Drag</t>
  </si>
  <si>
    <t xml:space="preserve"> ACS</t>
  </si>
  <si>
    <t>Z Kick</t>
  </si>
  <si>
    <t xml:space="preserve">  EVENTS</t>
  </si>
  <si>
    <t>Stroke</t>
  </si>
  <si>
    <t xml:space="preserve"> MOI/2</t>
  </si>
  <si>
    <t xml:space="preserve"> M.O.I.</t>
  </si>
  <si>
    <t xml:space="preserve">  RATE</t>
  </si>
  <si>
    <t>Accel</t>
  </si>
  <si>
    <t>tension</t>
  </si>
  <si>
    <r>
      <t xml:space="preserve">  W</t>
    </r>
    <r>
      <rPr>
        <sz val="10"/>
        <rFont val="Arial"/>
        <family val="2"/>
      </rPr>
      <t>4</t>
    </r>
  </si>
  <si>
    <r>
      <t>W</t>
    </r>
    <r>
      <rPr>
        <sz val="10"/>
        <rFont val="Arial"/>
        <family val="2"/>
      </rPr>
      <t>5,</t>
    </r>
    <r>
      <rPr>
        <sz val="10"/>
        <rFont val="Symbol"/>
        <family val="1"/>
        <charset val="2"/>
      </rPr>
      <t>W</t>
    </r>
    <r>
      <rPr>
        <sz val="10"/>
        <rFont val="Arial"/>
        <family val="2"/>
      </rPr>
      <t>6</t>
    </r>
  </si>
  <si>
    <r>
      <t xml:space="preserve">   W</t>
    </r>
    <r>
      <rPr>
        <sz val="10"/>
        <rFont val="Arial"/>
        <family val="2"/>
      </rPr>
      <t>7</t>
    </r>
  </si>
  <si>
    <t xml:space="preserve"> Mode</t>
  </si>
  <si>
    <t xml:space="preserve">  (m)</t>
  </si>
  <si>
    <r>
      <t xml:space="preserve">  kgm</t>
    </r>
    <r>
      <rPr>
        <vertAlign val="superscript"/>
        <sz val="7.5"/>
        <rFont val="Arial"/>
        <family val="2"/>
      </rPr>
      <t>2</t>
    </r>
  </si>
  <si>
    <t xml:space="preserve">  RPM</t>
  </si>
  <si>
    <t>(G's)</t>
  </si>
  <si>
    <t xml:space="preserve">  (N)</t>
  </si>
  <si>
    <r>
      <t>W</t>
    </r>
    <r>
      <rPr>
        <sz val="10"/>
        <rFont val="Arial"/>
        <family val="2"/>
      </rPr>
      <t>/</t>
    </r>
    <r>
      <rPr>
        <sz val="10"/>
        <rFont val="Symbol"/>
        <family val="1"/>
        <charset val="2"/>
      </rPr>
      <t>w</t>
    </r>
    <r>
      <rPr>
        <sz val="8"/>
        <rFont val="Arial"/>
        <family val="2"/>
      </rPr>
      <t>o</t>
    </r>
  </si>
  <si>
    <t xml:space="preserve"> (kg)</t>
  </si>
  <si>
    <t xml:space="preserve"> (kgm)</t>
  </si>
  <si>
    <t xml:space="preserve">   (m)</t>
  </si>
  <si>
    <t xml:space="preserve">   BEGIN NORMAL OPPOSED PAIR MOTOR DEPLOYMENTS</t>
  </si>
  <si>
    <t>AB Deploy</t>
  </si>
  <si>
    <t>CD Deploy</t>
  </si>
  <si>
    <t>SPIN</t>
  </si>
  <si>
    <t>Ball-Puck Separation</t>
  </si>
  <si>
    <t xml:space="preserve"> APPROX. MODE Harmonics (i.e.Equal Lengths Assumed)</t>
  </si>
  <si>
    <t xml:space="preserve">  MM</t>
  </si>
  <si>
    <t>FINAL SPIN</t>
  </si>
  <si>
    <t>Final Dipoles</t>
  </si>
  <si>
    <t>Percu-</t>
  </si>
  <si>
    <t>NOTE: Sphere Key Reels are Retracted for Initial Deployments</t>
  </si>
  <si>
    <t>deplyed</t>
  </si>
  <si>
    <t xml:space="preserve"> Wire MOI</t>
  </si>
  <si>
    <t xml:space="preserve"> mass</t>
  </si>
  <si>
    <t>length difference</t>
  </si>
  <si>
    <t>(kgm2)</t>
  </si>
  <si>
    <t>AB MOMENTS About ROOT (single)</t>
  </si>
  <si>
    <t>CD MOMENTS About ROOT (single)</t>
  </si>
  <si>
    <t>SPB A-B Final Dipole</t>
  </si>
  <si>
    <t>SPB C-D Final Dipole</t>
  </si>
  <si>
    <t>AXB Starting Height</t>
  </si>
  <si>
    <r>
      <t>Estimated Uniform Density PROBE (kgm</t>
    </r>
    <r>
      <rPr>
        <b/>
        <vertAlign val="superscript"/>
        <sz val="7.5"/>
        <rFont val="Arial"/>
        <family val="2"/>
      </rPr>
      <t>2</t>
    </r>
    <r>
      <rPr>
        <b/>
        <sz val="10"/>
        <rFont val="Arial"/>
        <family val="2"/>
      </rPr>
      <t>)</t>
    </r>
  </si>
  <si>
    <t>Spin / Unfurl</t>
  </si>
  <si>
    <t>FINAL ANGULAR MOMENTUM</t>
  </si>
  <si>
    <t>USER INPUTS in RUST</t>
  </si>
  <si>
    <t>CALCULATED VALUES in BLACK</t>
  </si>
  <si>
    <t>Local 2nd Moments</t>
  </si>
  <si>
    <t>MASS</t>
  </si>
  <si>
    <t>SHAPE</t>
  </si>
  <si>
    <t xml:space="preserve">    ITEM SIZE</t>
  </si>
  <si>
    <t>ITEM CG LOCATION</t>
  </si>
  <si>
    <t xml:space="preserve">  1st MASS MOMENTS</t>
  </si>
  <si>
    <t xml:space="preserve">  Iuu</t>
  </si>
  <si>
    <t xml:space="preserve">  Ivv</t>
  </si>
  <si>
    <t xml:space="preserve">  Izz</t>
  </si>
  <si>
    <t>Zeroth Mass Moment</t>
  </si>
  <si>
    <t>O.D.or u</t>
  </si>
  <si>
    <t xml:space="preserve"> ID or v</t>
  </si>
  <si>
    <t>Lg or z</t>
  </si>
  <si>
    <t>U</t>
  </si>
  <si>
    <t>V</t>
  </si>
  <si>
    <t xml:space="preserve">  Z</t>
  </si>
  <si>
    <t xml:space="preserve">   M*U</t>
  </si>
  <si>
    <t xml:space="preserve">   M*V</t>
  </si>
  <si>
    <t xml:space="preserve">   M*Z</t>
  </si>
  <si>
    <r>
      <t>(v</t>
    </r>
    <r>
      <rPr>
        <vertAlign val="superscript"/>
        <sz val="8"/>
        <color indexed="12"/>
        <rFont val="Arial"/>
        <family val="2"/>
      </rPr>
      <t>2</t>
    </r>
    <r>
      <rPr>
        <sz val="8"/>
        <color indexed="12"/>
        <rFont val="Arial"/>
        <family val="2"/>
      </rPr>
      <t>+z</t>
    </r>
    <r>
      <rPr>
        <vertAlign val="superscript"/>
        <sz val="8"/>
        <color indexed="12"/>
        <rFont val="Arial"/>
        <family val="2"/>
      </rPr>
      <t>2</t>
    </r>
    <r>
      <rPr>
        <sz val="8"/>
        <color indexed="12"/>
        <rFont val="Arial"/>
        <family val="2"/>
      </rPr>
      <t>)dm</t>
    </r>
  </si>
  <si>
    <r>
      <t>(u</t>
    </r>
    <r>
      <rPr>
        <vertAlign val="superscript"/>
        <sz val="8"/>
        <color indexed="12"/>
        <rFont val="Arial"/>
        <family val="2"/>
      </rPr>
      <t>2</t>
    </r>
    <r>
      <rPr>
        <sz val="8"/>
        <color indexed="12"/>
        <rFont val="Arial"/>
        <family val="2"/>
      </rPr>
      <t>+z</t>
    </r>
    <r>
      <rPr>
        <vertAlign val="superscript"/>
        <sz val="8"/>
        <color indexed="12"/>
        <rFont val="Arial"/>
        <family val="2"/>
      </rPr>
      <t>2</t>
    </r>
    <r>
      <rPr>
        <sz val="8"/>
        <color indexed="12"/>
        <rFont val="Arial"/>
        <family val="2"/>
      </rPr>
      <t>)dm</t>
    </r>
  </si>
  <si>
    <r>
      <t>(u</t>
    </r>
    <r>
      <rPr>
        <vertAlign val="superscript"/>
        <sz val="8"/>
        <color indexed="12"/>
        <rFont val="Arial"/>
        <family val="2"/>
      </rPr>
      <t>2</t>
    </r>
    <r>
      <rPr>
        <sz val="8"/>
        <color indexed="12"/>
        <rFont val="Arial"/>
        <family val="2"/>
      </rPr>
      <t>+v</t>
    </r>
    <r>
      <rPr>
        <vertAlign val="superscript"/>
        <sz val="8"/>
        <color indexed="12"/>
        <rFont val="Arial"/>
        <family val="2"/>
      </rPr>
      <t>2</t>
    </r>
    <r>
      <rPr>
        <sz val="8"/>
        <color indexed="12"/>
        <rFont val="Arial"/>
        <family val="2"/>
      </rPr>
      <t>)dm</t>
    </r>
  </si>
  <si>
    <t xml:space="preserve">      (kg)</t>
  </si>
  <si>
    <t xml:space="preserve">   (meters)</t>
  </si>
  <si>
    <t xml:space="preserve">  (kg meters)</t>
  </si>
  <si>
    <r>
      <t>(kg m</t>
    </r>
    <r>
      <rPr>
        <vertAlign val="superscript"/>
        <sz val="8"/>
        <color indexed="12"/>
        <rFont val="Arial"/>
        <family val="2"/>
      </rPr>
      <t>2</t>
    </r>
    <r>
      <rPr>
        <sz val="8"/>
        <color indexed="12"/>
        <rFont val="Arial"/>
      </rPr>
      <t>)</t>
    </r>
  </si>
  <si>
    <t>1st Mass Moment</t>
  </si>
  <si>
    <t>Parallel Axis 2nd Moments</t>
  </si>
  <si>
    <t>Total MASS</t>
  </si>
  <si>
    <r>
      <t>C.G. coords</t>
    </r>
    <r>
      <rPr>
        <sz val="10"/>
        <rFont val="Arial"/>
        <family val="2"/>
      </rPr>
      <t xml:space="preserve"> (U,V,Z)</t>
    </r>
  </si>
  <si>
    <t>1st MOMENT SUMS</t>
  </si>
  <si>
    <t>2nd Moments @ CG</t>
  </si>
  <si>
    <t>+Main</t>
  </si>
  <si>
    <t>in. = BOOM STROKE</t>
  </si>
  <si>
    <t>in. = Strip Thickness</t>
  </si>
  <si>
    <t>in. = Strip Width</t>
  </si>
  <si>
    <t>in = Tip Diameter</t>
  </si>
  <si>
    <t>deg. = Tip Helix Angle</t>
  </si>
  <si>
    <t>Staircase Factor (0-100%)</t>
  </si>
  <si>
    <t>lb. = Tip Mass</t>
  </si>
  <si>
    <t>kg/m = Cable Mass Rate</t>
  </si>
  <si>
    <t>in. = Helix Pitch</t>
  </si>
  <si>
    <t>&gt; -Z Main Stacer &amp; Cable</t>
  </si>
  <si>
    <t xml:space="preserve">Number of Coils         </t>
  </si>
  <si>
    <t>in. = Base Diameter</t>
  </si>
  <si>
    <t>deg. = Base Helix</t>
  </si>
  <si>
    <t>Base Strip Overlap</t>
  </si>
  <si>
    <t>in. = Strip Length</t>
  </si>
  <si>
    <t>lb. = Strip Weight</t>
  </si>
  <si>
    <t>BENDING PERFORMANCE</t>
  </si>
  <si>
    <t>in. = Equivalent Diameter</t>
  </si>
  <si>
    <r>
      <t>lb in</t>
    </r>
    <r>
      <rPr>
        <vertAlign val="superscript"/>
        <sz val="10"/>
        <rFont val="Arial"/>
        <family val="2"/>
      </rPr>
      <t>2</t>
    </r>
    <r>
      <rPr>
        <sz val="10"/>
        <rFont val="Arial"/>
      </rPr>
      <t xml:space="preserve"> = Equivalent EI</t>
    </r>
  </si>
  <si>
    <t>Bending Spring Constant  (lb/ ft)</t>
  </si>
  <si>
    <t>Resonant Frequency (RPM)</t>
  </si>
  <si>
    <t>Buckling Moment   (ft lb)</t>
  </si>
  <si>
    <t>Stacked Resonance</t>
  </si>
  <si>
    <t>Rigid AXB 2nd Moment</t>
  </si>
  <si>
    <r>
      <t>Flexibility Factor [1/(1-</t>
    </r>
    <r>
      <rPr>
        <sz val="10"/>
        <rFont val="Symbol"/>
        <family val="1"/>
        <charset val="2"/>
      </rPr>
      <t>w</t>
    </r>
    <r>
      <rPr>
        <vertAlign val="superscript"/>
        <sz val="10"/>
        <rFont val="Arial"/>
        <family val="2"/>
      </rPr>
      <t>2</t>
    </r>
    <r>
      <rPr>
        <sz val="10"/>
        <rFont val="Arial"/>
      </rPr>
      <t>/</t>
    </r>
    <r>
      <rPr>
        <sz val="10"/>
        <rFont val="Symbol"/>
        <family val="1"/>
        <charset val="2"/>
      </rPr>
      <t>W</t>
    </r>
    <r>
      <rPr>
        <vertAlign val="superscript"/>
        <sz val="10"/>
        <rFont val="Arial"/>
        <family val="2"/>
      </rPr>
      <t>2</t>
    </r>
    <r>
      <rPr>
        <sz val="10"/>
        <rFont val="Arial"/>
      </rPr>
      <t>)]</t>
    </r>
    <r>
      <rPr>
        <vertAlign val="superscript"/>
        <sz val="10"/>
        <rFont val="Arial"/>
        <family val="2"/>
      </rPr>
      <t>2</t>
    </r>
  </si>
  <si>
    <t>AXB 2nd Moment (if Rigid)</t>
  </si>
  <si>
    <t>Effective AXB 2nd Moment</t>
  </si>
  <si>
    <t>AXIAL BOOM EXCITATIONS (Thomson p.216)</t>
  </si>
  <si>
    <t>INITIAL ANGULAR MOMENTUM</t>
  </si>
  <si>
    <t>Nms</t>
  </si>
  <si>
    <t>RBSP Wire Boom (SPB) Deployment Worksheet</t>
  </si>
  <si>
    <t xml:space="preserve"> AB pr</t>
  </si>
  <si>
    <t xml:space="preserve"> CD pr</t>
  </si>
  <si>
    <t>AXB Tip to Tip</t>
  </si>
  <si>
    <t>-Main</t>
  </si>
  <si>
    <t>&gt; +Z Main Stacer &amp; Cable</t>
  </si>
  <si>
    <t>RBSP Axial Boom (AXB) Worksheet</t>
  </si>
  <si>
    <t>AXIAL BOOM PROPERTIES CALCULATION</t>
  </si>
  <si>
    <t>Inner puck + rad shld</t>
  </si>
  <si>
    <r>
      <t xml:space="preserve">RPM </t>
    </r>
    <r>
      <rPr>
        <b/>
        <sz val="10"/>
        <rFont val="Arial"/>
        <family val="2"/>
      </rPr>
      <t>Science Spin Rate</t>
    </r>
  </si>
  <si>
    <t>Yaw MOI calc.</t>
  </si>
  <si>
    <t>Roll MOI calc</t>
  </si>
  <si>
    <t xml:space="preserve"> Iuu</t>
  </si>
  <si>
    <t xml:space="preserve"> Izz</t>
  </si>
  <si>
    <t>kg. dry BUS</t>
  </si>
  <si>
    <t>Stability Margin</t>
  </si>
  <si>
    <r>
      <t>Flight Config (kgm</t>
    </r>
    <r>
      <rPr>
        <b/>
        <vertAlign val="superscript"/>
        <sz val="7.5"/>
        <rFont val="Arial"/>
        <family val="2"/>
      </rPr>
      <t>2</t>
    </r>
    <r>
      <rPr>
        <b/>
        <sz val="10"/>
        <rFont val="Arial"/>
        <family val="2"/>
      </rPr>
      <t>)</t>
    </r>
  </si>
  <si>
    <t>SPB pr Effecive MOI</t>
  </si>
  <si>
    <t>CORE BUS Mass Properties Estimates</t>
  </si>
  <si>
    <t>SPB (all) Rigid MOI</t>
  </si>
  <si>
    <t>Full MOIs @ ass'y CG</t>
  </si>
  <si>
    <r>
      <t>↓ Iuu + M (</t>
    </r>
    <r>
      <rPr>
        <sz val="8"/>
        <color indexed="12"/>
        <rFont val="Symbol"/>
        <family val="1"/>
        <charset val="2"/>
      </rPr>
      <t>D</t>
    </r>
    <r>
      <rPr>
        <sz val="8"/>
        <color indexed="12"/>
        <rFont val="Arial"/>
      </rPr>
      <t>U</t>
    </r>
    <r>
      <rPr>
        <vertAlign val="superscript"/>
        <sz val="8"/>
        <color indexed="12"/>
        <rFont val="Arial"/>
      </rPr>
      <t>2</t>
    </r>
    <r>
      <rPr>
        <sz val="8"/>
        <color indexed="12"/>
        <rFont val="Arial"/>
      </rPr>
      <t>+</t>
    </r>
    <r>
      <rPr>
        <sz val="8"/>
        <color indexed="12"/>
        <rFont val="Symbol"/>
        <family val="1"/>
        <charset val="2"/>
      </rPr>
      <t>D</t>
    </r>
    <r>
      <rPr>
        <sz val="8"/>
        <color indexed="12"/>
        <rFont val="Arial"/>
      </rPr>
      <t>Z</t>
    </r>
    <r>
      <rPr>
        <vertAlign val="superscript"/>
        <sz val="8"/>
        <color indexed="12"/>
        <rFont val="Arial"/>
      </rPr>
      <t>2</t>
    </r>
    <r>
      <rPr>
        <sz val="8"/>
        <color indexed="12"/>
        <rFont val="Arial"/>
      </rPr>
      <t>)</t>
    </r>
  </si>
  <si>
    <r>
      <t>↓</t>
    </r>
    <r>
      <rPr>
        <sz val="6"/>
        <color indexed="12"/>
        <rFont val="Arial"/>
      </rPr>
      <t xml:space="preserve"> </t>
    </r>
    <r>
      <rPr>
        <sz val="8"/>
        <color indexed="12"/>
        <rFont val="Arial"/>
      </rPr>
      <t>Ivv + M (</t>
    </r>
    <r>
      <rPr>
        <sz val="8"/>
        <color indexed="12"/>
        <rFont val="Symbol"/>
        <family val="1"/>
        <charset val="2"/>
      </rPr>
      <t>D</t>
    </r>
    <r>
      <rPr>
        <sz val="8"/>
        <color indexed="12"/>
        <rFont val="Arial"/>
      </rPr>
      <t>V</t>
    </r>
    <r>
      <rPr>
        <vertAlign val="superscript"/>
        <sz val="8"/>
        <color indexed="12"/>
        <rFont val="Arial"/>
      </rPr>
      <t>2</t>
    </r>
    <r>
      <rPr>
        <sz val="8"/>
        <color indexed="12"/>
        <rFont val="Arial"/>
      </rPr>
      <t>+</t>
    </r>
    <r>
      <rPr>
        <sz val="8"/>
        <color indexed="12"/>
        <rFont val="Symbol"/>
        <family val="1"/>
        <charset val="2"/>
      </rPr>
      <t>D</t>
    </r>
    <r>
      <rPr>
        <sz val="8"/>
        <color indexed="12"/>
        <rFont val="Arial"/>
      </rPr>
      <t>Z</t>
    </r>
    <r>
      <rPr>
        <vertAlign val="superscript"/>
        <sz val="8"/>
        <color indexed="12"/>
        <rFont val="Arial"/>
      </rPr>
      <t>2</t>
    </r>
    <r>
      <rPr>
        <sz val="8"/>
        <color indexed="12"/>
        <rFont val="Arial"/>
      </rPr>
      <t>)</t>
    </r>
  </si>
  <si>
    <r>
      <t>↓</t>
    </r>
    <r>
      <rPr>
        <sz val="6"/>
        <color indexed="12"/>
        <rFont val="Arial"/>
      </rPr>
      <t xml:space="preserve"> </t>
    </r>
    <r>
      <rPr>
        <sz val="8"/>
        <color indexed="12"/>
        <rFont val="Arial"/>
      </rPr>
      <t>Izz + M (</t>
    </r>
    <r>
      <rPr>
        <sz val="8"/>
        <color indexed="12"/>
        <rFont val="Symbol"/>
        <family val="1"/>
        <charset val="2"/>
      </rPr>
      <t>D</t>
    </r>
    <r>
      <rPr>
        <sz val="8"/>
        <color indexed="12"/>
        <rFont val="Arial"/>
      </rPr>
      <t>U</t>
    </r>
    <r>
      <rPr>
        <vertAlign val="superscript"/>
        <sz val="8"/>
        <color indexed="12"/>
        <rFont val="Arial"/>
      </rPr>
      <t>2</t>
    </r>
    <r>
      <rPr>
        <sz val="8"/>
        <color indexed="12"/>
        <rFont val="Arial"/>
      </rPr>
      <t>+</t>
    </r>
    <r>
      <rPr>
        <sz val="8"/>
        <color indexed="12"/>
        <rFont val="Symbol"/>
        <family val="1"/>
        <charset val="2"/>
      </rPr>
      <t>D</t>
    </r>
    <r>
      <rPr>
        <sz val="8"/>
        <color indexed="12"/>
        <rFont val="Arial"/>
      </rPr>
      <t>V</t>
    </r>
    <r>
      <rPr>
        <vertAlign val="superscript"/>
        <sz val="8"/>
        <color indexed="12"/>
        <rFont val="Arial"/>
      </rPr>
      <t>2</t>
    </r>
    <r>
      <rPr>
        <sz val="8"/>
        <color indexed="12"/>
        <rFont val="Arial"/>
      </rPr>
      <t>)</t>
    </r>
  </si>
  <si>
    <r>
      <t>Core Flight Config (kgm</t>
    </r>
    <r>
      <rPr>
        <b/>
        <vertAlign val="superscript"/>
        <sz val="7.5"/>
        <rFont val="Arial"/>
        <family val="2"/>
      </rPr>
      <t>2</t>
    </r>
    <r>
      <rPr>
        <b/>
        <sz val="10"/>
        <rFont val="Arial"/>
        <family val="2"/>
      </rPr>
      <t>)</t>
    </r>
  </si>
  <si>
    <t>MASS MOMENTS Calculation Formulas</t>
  </si>
  <si>
    <t>Z tube</t>
  </si>
  <si>
    <r>
      <t xml:space="preserve">M = </t>
    </r>
    <r>
      <rPr>
        <sz val="10"/>
        <color indexed="12"/>
        <rFont val="Symbol"/>
        <family val="1"/>
        <charset val="2"/>
      </rPr>
      <t>S</t>
    </r>
    <r>
      <rPr>
        <sz val="10"/>
        <color indexed="12"/>
        <rFont val="Arial"/>
      </rPr>
      <t>Mi</t>
    </r>
  </si>
  <si>
    <r>
      <t>CG</t>
    </r>
    <r>
      <rPr>
        <sz val="10"/>
        <color indexed="12"/>
        <rFont val="Arial"/>
        <family val="2"/>
      </rPr>
      <t>v</t>
    </r>
    <r>
      <rPr>
        <sz val="10"/>
        <color indexed="12"/>
        <rFont val="Arial"/>
      </rPr>
      <t xml:space="preserve"> = </t>
    </r>
    <r>
      <rPr>
        <sz val="10"/>
        <color indexed="12"/>
        <rFont val="Symbol"/>
        <family val="1"/>
        <charset val="2"/>
      </rPr>
      <t>S</t>
    </r>
    <r>
      <rPr>
        <sz val="10"/>
        <color indexed="12"/>
        <rFont val="Arial"/>
        <family val="2"/>
      </rPr>
      <t xml:space="preserve">MiVi / </t>
    </r>
    <r>
      <rPr>
        <sz val="10"/>
        <color indexed="12"/>
        <rFont val="Symbol"/>
        <family val="1"/>
        <charset val="2"/>
      </rPr>
      <t>S</t>
    </r>
    <r>
      <rPr>
        <sz val="10"/>
        <color indexed="12"/>
        <rFont val="Arial"/>
        <family val="2"/>
      </rPr>
      <t>Mi</t>
    </r>
  </si>
  <si>
    <r>
      <t>Local 2nd Moments</t>
    </r>
    <r>
      <rPr>
        <sz val="10"/>
        <color indexed="12"/>
        <rFont val="Arial"/>
        <family val="2"/>
      </rPr>
      <t xml:space="preserve"> (@CG)</t>
    </r>
  </si>
  <si>
    <r>
      <t>Tube(perp) = M [(od</t>
    </r>
    <r>
      <rPr>
        <vertAlign val="superscript"/>
        <sz val="10"/>
        <color indexed="12"/>
        <rFont val="Arial"/>
        <family val="2"/>
      </rPr>
      <t>2</t>
    </r>
    <r>
      <rPr>
        <sz val="10"/>
        <color indexed="12"/>
        <rFont val="Arial"/>
        <family val="2"/>
      </rPr>
      <t>+id</t>
    </r>
    <r>
      <rPr>
        <vertAlign val="superscript"/>
        <sz val="10"/>
        <color indexed="12"/>
        <rFont val="Arial"/>
        <family val="2"/>
      </rPr>
      <t>2</t>
    </r>
    <r>
      <rPr>
        <sz val="10"/>
        <color indexed="12"/>
        <rFont val="Arial"/>
        <family val="2"/>
      </rPr>
      <t>)/16 + L</t>
    </r>
    <r>
      <rPr>
        <vertAlign val="superscript"/>
        <sz val="10"/>
        <color indexed="12"/>
        <rFont val="Arial"/>
        <family val="2"/>
      </rPr>
      <t>2</t>
    </r>
    <r>
      <rPr>
        <sz val="10"/>
        <color indexed="12"/>
        <rFont val="Arial"/>
        <family val="2"/>
      </rPr>
      <t>/12 ]</t>
    </r>
  </si>
  <si>
    <r>
      <t>Tube(axial) = M (od</t>
    </r>
    <r>
      <rPr>
        <vertAlign val="superscript"/>
        <sz val="10"/>
        <color indexed="12"/>
        <rFont val="Arial"/>
        <family val="2"/>
      </rPr>
      <t>2</t>
    </r>
    <r>
      <rPr>
        <sz val="10"/>
        <color indexed="12"/>
        <rFont val="Arial"/>
        <family val="2"/>
      </rPr>
      <t>+id</t>
    </r>
    <r>
      <rPr>
        <vertAlign val="superscript"/>
        <sz val="10"/>
        <color indexed="12"/>
        <rFont val="Arial"/>
        <family val="2"/>
      </rPr>
      <t>2</t>
    </r>
    <r>
      <rPr>
        <sz val="10"/>
        <color indexed="12"/>
        <rFont val="Arial"/>
        <family val="2"/>
      </rPr>
      <t>) /8</t>
    </r>
  </si>
  <si>
    <r>
      <t xml:space="preserve">IUU = </t>
    </r>
    <r>
      <rPr>
        <sz val="10"/>
        <color indexed="12"/>
        <rFont val="Symbol"/>
        <family val="1"/>
        <charset val="2"/>
      </rPr>
      <t>S</t>
    </r>
    <r>
      <rPr>
        <sz val="10"/>
        <color indexed="12"/>
        <rFont val="Arial"/>
      </rPr>
      <t>i [M(V</t>
    </r>
    <r>
      <rPr>
        <vertAlign val="superscript"/>
        <sz val="10"/>
        <color indexed="12"/>
        <rFont val="Arial"/>
      </rPr>
      <t>2</t>
    </r>
    <r>
      <rPr>
        <sz val="10"/>
        <color indexed="12"/>
        <rFont val="Arial"/>
      </rPr>
      <t>+Z</t>
    </r>
    <r>
      <rPr>
        <vertAlign val="superscript"/>
        <sz val="10"/>
        <color indexed="12"/>
        <rFont val="Arial"/>
      </rPr>
      <t>2</t>
    </r>
    <r>
      <rPr>
        <sz val="10"/>
        <color indexed="12"/>
        <rFont val="Arial"/>
      </rPr>
      <t>) + Iuu ]</t>
    </r>
  </si>
  <si>
    <r>
      <t xml:space="preserve">IUV = </t>
    </r>
    <r>
      <rPr>
        <sz val="10"/>
        <color indexed="12"/>
        <rFont val="Symbol"/>
        <family val="1"/>
        <charset val="2"/>
      </rPr>
      <t>S</t>
    </r>
    <r>
      <rPr>
        <sz val="10"/>
        <color indexed="12"/>
        <rFont val="Arial"/>
      </rPr>
      <t>i [ MUV + Iuu ]</t>
    </r>
  </si>
  <si>
    <r>
      <t>Prior Mag Boom Estimates (kgm</t>
    </r>
    <r>
      <rPr>
        <b/>
        <vertAlign val="superscript"/>
        <sz val="7.5"/>
        <rFont val="Arial"/>
        <family val="2"/>
      </rPr>
      <t>2</t>
    </r>
    <r>
      <rPr>
        <b/>
        <sz val="10"/>
        <rFont val="Arial"/>
        <family val="2"/>
      </rPr>
      <t>)</t>
    </r>
  </si>
  <si>
    <t>AXB pr MOI (flexible)</t>
  </si>
  <si>
    <r>
      <t>RPM - Spin Adjusted Resonance (</t>
    </r>
    <r>
      <rPr>
        <sz val="10"/>
        <rFont val="Symbol"/>
        <family val="1"/>
        <charset val="2"/>
      </rPr>
      <t>w</t>
    </r>
    <r>
      <rPr>
        <vertAlign val="subscript"/>
        <sz val="10"/>
        <rFont val="Arial"/>
        <family val="2"/>
      </rPr>
      <t>r</t>
    </r>
    <r>
      <rPr>
        <vertAlign val="superscript"/>
        <sz val="10"/>
        <rFont val="Arial"/>
        <family val="2"/>
      </rPr>
      <t>2</t>
    </r>
    <r>
      <rPr>
        <sz val="10"/>
        <rFont val="Arial"/>
      </rPr>
      <t xml:space="preserve"> = </t>
    </r>
    <r>
      <rPr>
        <sz val="10"/>
        <rFont val="Symbol"/>
        <family val="1"/>
        <charset val="2"/>
      </rPr>
      <t>w</t>
    </r>
    <r>
      <rPr>
        <vertAlign val="subscript"/>
        <sz val="10"/>
        <rFont val="Arial"/>
        <family val="2"/>
      </rPr>
      <t>nr</t>
    </r>
    <r>
      <rPr>
        <vertAlign val="superscript"/>
        <sz val="10"/>
        <rFont val="Arial"/>
        <family val="2"/>
      </rPr>
      <t>2</t>
    </r>
    <r>
      <rPr>
        <sz val="10"/>
        <rFont val="Arial"/>
      </rPr>
      <t xml:space="preserve"> - </t>
    </r>
    <r>
      <rPr>
        <sz val="10"/>
        <rFont val="Symbol"/>
        <family val="1"/>
        <charset val="2"/>
      </rPr>
      <t>w</t>
    </r>
    <r>
      <rPr>
        <vertAlign val="subscript"/>
        <sz val="10"/>
        <rFont val="Arial"/>
        <family val="2"/>
      </rPr>
      <t>o</t>
    </r>
    <r>
      <rPr>
        <vertAlign val="superscript"/>
        <sz val="10"/>
        <rFont val="Arial"/>
        <family val="2"/>
      </rPr>
      <t>2</t>
    </r>
    <r>
      <rPr>
        <sz val="10"/>
        <rFont val="Arial"/>
      </rPr>
      <t>)</t>
    </r>
  </si>
  <si>
    <t>SPB pr Effective MOI</t>
  </si>
  <si>
    <r>
      <t xml:space="preserve">MOI Deficit </t>
    </r>
    <r>
      <rPr>
        <sz val="10"/>
        <rFont val="Arial"/>
      </rPr>
      <t>(AXB-SPB)</t>
    </r>
    <r>
      <rPr>
        <sz val="8"/>
        <rFont val="Arial"/>
        <family val="2"/>
      </rPr>
      <t>effective</t>
    </r>
  </si>
  <si>
    <r>
      <t>kgm</t>
    </r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</t>
    </r>
    <r>
      <rPr>
        <sz val="10"/>
        <rFont val="Arial"/>
        <family val="2"/>
      </rPr>
      <t xml:space="preserve">- </t>
    </r>
    <r>
      <rPr>
        <b/>
        <sz val="10"/>
        <rFont val="Arial"/>
        <family val="2"/>
      </rPr>
      <t>Must be Supported by the Spacecraft</t>
    </r>
  </si>
  <si>
    <t xml:space="preserve"> </t>
  </si>
  <si>
    <t>NUTATION</t>
  </si>
  <si>
    <t>History:</t>
  </si>
  <si>
    <t>Rev A</t>
  </si>
  <si>
    <t>Dave Pankow, UCBSSL, 8 May 2007</t>
  </si>
  <si>
    <t xml:space="preserve">1)  Initial version, includes edits to 'RMV' version by DP.
2)  Corrected length references on AXB page so that usm of parts now equals the chosen dipole tip-to-tip length.
3)  Calculation of frequency for 2nd nutation harmonic deleted, and mode shapes cartoon added.
</t>
  </si>
  <si>
    <t>&gt; +Z Spherical Sensor</t>
  </si>
  <si>
    <t>&gt; -Z Spherical Sensor</t>
  </si>
  <si>
    <t>(kg)</t>
  </si>
  <si>
    <t>(m)</t>
  </si>
  <si>
    <t>AXB PROPERTIES</t>
  </si>
  <si>
    <t>n.a.</t>
  </si>
  <si>
    <t>AXB Whip Tube</t>
  </si>
  <si>
    <t>&gt; +Z Tip + Extender</t>
  </si>
  <si>
    <t>&gt; +Z Whip Tube</t>
  </si>
  <si>
    <t>LINKED DATA</t>
  </si>
  <si>
    <r>
      <t>Rust Color</t>
    </r>
    <r>
      <rPr>
        <sz val="10"/>
        <rFont val="Arial"/>
        <family val="2"/>
      </rPr>
      <t xml:space="preserve"> Values are first entry points</t>
    </r>
  </si>
  <si>
    <r>
      <t>Blue Values</t>
    </r>
    <r>
      <rPr>
        <sz val="10"/>
        <rFont val="Arial"/>
        <family val="2"/>
      </rPr>
      <t xml:space="preserve"> repeat from other pages</t>
    </r>
  </si>
  <si>
    <t>AXB Tip &amp; Extender</t>
  </si>
  <si>
    <t>&gt; -Z Tip + Extender</t>
  </si>
  <si>
    <t>&gt; -Z Whip Tube</t>
  </si>
  <si>
    <t>ABCD</t>
  </si>
  <si>
    <t>Spin</t>
  </si>
  <si>
    <t>(deg)</t>
  </si>
  <si>
    <t>N Thruster</t>
  </si>
  <si>
    <t>m Radius</t>
  </si>
  <si>
    <r>
      <t>(FxR/I</t>
    </r>
    <r>
      <rPr>
        <sz val="8"/>
        <rFont val="Arial"/>
        <family val="2"/>
      </rPr>
      <t>zz</t>
    </r>
    <r>
      <rPr>
        <sz val="10"/>
        <rFont val="Arial"/>
      </rPr>
      <t>/</t>
    </r>
    <r>
      <rPr>
        <sz val="10"/>
        <rFont val="Symbol"/>
        <family val="1"/>
        <charset val="2"/>
      </rPr>
      <t>w</t>
    </r>
    <r>
      <rPr>
        <vertAlign val="superscript"/>
        <sz val="10"/>
        <rFont val="Arial"/>
        <family val="2"/>
      </rPr>
      <t>2</t>
    </r>
    <r>
      <rPr>
        <sz val="10"/>
        <rFont val="Arial"/>
      </rPr>
      <t>)</t>
    </r>
    <r>
      <rPr>
        <sz val="10"/>
        <rFont val="Arial"/>
        <family val="2"/>
      </rPr>
      <t>*(L</t>
    </r>
    <r>
      <rPr>
        <sz val="8"/>
        <rFont val="Arial"/>
        <family val="2"/>
      </rPr>
      <t>p</t>
    </r>
    <r>
      <rPr>
        <sz val="10"/>
        <rFont val="Arial"/>
        <family val="2"/>
      </rPr>
      <t>/a)</t>
    </r>
  </si>
  <si>
    <t>(sec)</t>
  </si>
  <si>
    <t>E.T.</t>
  </si>
  <si>
    <t># pulses</t>
  </si>
  <si>
    <t>(min)</t>
  </si>
  <si>
    <t>pulse</t>
  </si>
  <si>
    <t>duty</t>
  </si>
  <si>
    <t>cycle</t>
  </si>
  <si>
    <r>
      <t>Frequency Ratio (</t>
    </r>
    <r>
      <rPr>
        <sz val="10"/>
        <rFont val="Symbol"/>
        <family val="1"/>
        <charset val="2"/>
      </rPr>
      <t>w</t>
    </r>
    <r>
      <rPr>
        <vertAlign val="subscript"/>
        <sz val="10"/>
        <rFont val="Arial"/>
        <family val="2"/>
      </rPr>
      <t>nut</t>
    </r>
    <r>
      <rPr>
        <sz val="10"/>
        <rFont val="Arial"/>
      </rPr>
      <t xml:space="preserve"> / </t>
    </r>
    <r>
      <rPr>
        <sz val="10"/>
        <rFont val="Symbol"/>
        <family val="1"/>
        <charset val="2"/>
      </rPr>
      <t>w</t>
    </r>
    <r>
      <rPr>
        <vertAlign val="subscript"/>
        <sz val="10"/>
        <rFont val="Arial"/>
        <family val="2"/>
      </rPr>
      <t>r</t>
    </r>
    <r>
      <rPr>
        <sz val="10"/>
        <rFont val="Arial"/>
      </rPr>
      <t>) …i.e. excited well below resonance</t>
    </r>
  </si>
  <si>
    <r>
      <t>AXIAL BOOMS STOWED</t>
    </r>
    <r>
      <rPr>
        <b/>
        <sz val="10"/>
        <rFont val="Arial"/>
      </rPr>
      <t xml:space="preserve"> </t>
    </r>
    <r>
      <rPr>
        <sz val="10"/>
        <rFont val="Arial"/>
        <family val="2"/>
      </rPr>
      <t>(U,V,Z coordinates)</t>
    </r>
  </si>
  <si>
    <r>
      <t>AXIAL BOOMS DEPLOYED</t>
    </r>
    <r>
      <rPr>
        <b/>
        <sz val="10"/>
        <rFont val="Arial"/>
      </rPr>
      <t xml:space="preserve"> </t>
    </r>
    <r>
      <rPr>
        <sz val="10"/>
        <rFont val="Arial"/>
        <family val="2"/>
      </rPr>
      <t>(U,V,Z coordinates)</t>
    </r>
  </si>
  <si>
    <r>
      <t xml:space="preserve">AXB pr </t>
    </r>
    <r>
      <rPr>
        <sz val="9"/>
        <rFont val="Symbol"/>
        <family val="1"/>
        <charset val="2"/>
      </rPr>
      <t>D</t>
    </r>
    <r>
      <rPr>
        <sz val="9"/>
        <rFont val="Arial"/>
      </rPr>
      <t>MOI (rigid)</t>
    </r>
  </si>
  <si>
    <t>Rev B</t>
  </si>
  <si>
    <t>Dave Pankow, John Bonnell UCBSSL, ### 2007</t>
  </si>
  <si>
    <t xml:space="preserve">4)  Revised AXB sheet format and values to reflect hinged whip element and sensor
5)  Revised SPB sheet to include deploy and re-spin time estimates
6)  Revised YELLOW common data block to reflect hinged AXB geometry
</t>
  </si>
  <si>
    <t xml:space="preserve"> Nutation</t>
  </si>
  <si>
    <r>
      <t>≈</t>
    </r>
    <r>
      <rPr>
        <b/>
        <sz val="7.5"/>
        <color indexed="17"/>
        <rFont val="Symbol"/>
        <family val="1"/>
        <charset val="2"/>
      </rPr>
      <t xml:space="preserve"> </t>
    </r>
    <r>
      <rPr>
        <b/>
        <sz val="10"/>
        <color indexed="17"/>
        <rFont val="Symbol"/>
        <family val="1"/>
        <charset val="2"/>
      </rPr>
      <t>D</t>
    </r>
    <r>
      <rPr>
        <b/>
        <sz val="10"/>
        <color indexed="17"/>
        <rFont val="Arial"/>
        <family val="2"/>
      </rPr>
      <t>T</t>
    </r>
  </si>
  <si>
    <t>Spinup Lag</t>
  </si>
  <si>
    <t>Lag</t>
  </si>
  <si>
    <r>
      <t>2v/(a</t>
    </r>
    <r>
      <rPr>
        <sz val="8"/>
        <rFont val="Symbol"/>
        <family val="1"/>
        <charset val="2"/>
      </rPr>
      <t>w</t>
    </r>
    <r>
      <rPr>
        <sz val="8"/>
        <rFont val="Arial"/>
        <family val="2"/>
      </rPr>
      <t>)</t>
    </r>
  </si>
  <si>
    <t>s = Dual Pulse Width for Puck Unfurls</t>
  </si>
  <si>
    <t>s = Dual RCS Pulse Width</t>
  </si>
  <si>
    <t>hours Total</t>
  </si>
  <si>
    <t>NO THRUSTER PULSING</t>
  </si>
  <si>
    <t>Stacer Tip &amp; Extender</t>
  </si>
  <si>
    <t>&gt; +Z Conn, &amp; Hinge</t>
  </si>
  <si>
    <t>&gt; -Z Conn, &amp; Hinge</t>
  </si>
  <si>
    <t>CBE
Mass
(kg)</t>
  </si>
  <si>
    <t>NTE
Mass
(kg)</t>
  </si>
  <si>
    <t>IDPU</t>
  </si>
  <si>
    <t>Harness</t>
  </si>
  <si>
    <t>CBE</t>
  </si>
  <si>
    <t>NTE</t>
  </si>
  <si>
    <t>Hz</t>
  </si>
  <si>
    <t>Rev C</t>
  </si>
  <si>
    <t xml:space="preserve">7)  Added ICD values sheet to provide the data subset &amp; NTEs needed for GNC modelling
8)  Revised Summary sheet to include 3/24/08 reported spacecraft properties
9)  Revised AXB sheet YELLOW data block to reflect AXB packaging studies
</t>
  </si>
  <si>
    <t>RBSP EFW</t>
  </si>
  <si>
    <t>Monthly Report Formatted</t>
  </si>
  <si>
    <t>Component</t>
  </si>
  <si>
    <t>#</t>
  </si>
  <si>
    <t>Unit
Mass
(kg)</t>
  </si>
  <si>
    <t>SPB-1</t>
  </si>
  <si>
    <t>Mod of existing design</t>
  </si>
  <si>
    <t>Motor</t>
  </si>
  <si>
    <t>Minor mod of existing</t>
  </si>
  <si>
    <t>Spool</t>
  </si>
  <si>
    <t>Snout/Door</t>
  </si>
  <si>
    <t>Structure</t>
  </si>
  <si>
    <t>New Development</t>
  </si>
  <si>
    <t>SPB-2</t>
  </si>
  <si>
    <t>SPB-3</t>
  </si>
  <si>
    <t>SPB-4</t>
  </si>
  <si>
    <t>AXB-1</t>
  </si>
  <si>
    <t>Stacer</t>
  </si>
  <si>
    <t>Stacer Can</t>
  </si>
  <si>
    <t>Stacer element</t>
  </si>
  <si>
    <t>Tip Piece Assy</t>
  </si>
  <si>
    <t>Motor Drive Assy</t>
  </si>
  <si>
    <t>Cable</t>
  </si>
  <si>
    <t>Motor and Shield</t>
  </si>
  <si>
    <t>Spool and slipring</t>
  </si>
  <si>
    <t>Gearbox</t>
  </si>
  <si>
    <t>Stacer Release</t>
  </si>
  <si>
    <t>Whip Cage</t>
  </si>
  <si>
    <t>DAD Assy</t>
  </si>
  <si>
    <t>Top Roller Nozzle Cover</t>
  </si>
  <si>
    <t>Top Baseplate</t>
  </si>
  <si>
    <t>Upper Baseplate</t>
  </si>
  <si>
    <t>Lower Roller Nozzle Cover</t>
  </si>
  <si>
    <t>Lower Baseplate</t>
  </si>
  <si>
    <t>Stacer Base Assy</t>
  </si>
  <si>
    <t>Springs</t>
  </si>
  <si>
    <t>Spring Mandrel Assy</t>
  </si>
  <si>
    <t>AXB-2</t>
  </si>
  <si>
    <t>AXB Tube Assy</t>
  </si>
  <si>
    <t>DFB</t>
  </si>
  <si>
    <t>LVPS</t>
  </si>
  <si>
    <t>Backplane</t>
  </si>
  <si>
    <t>Chassis</t>
  </si>
  <si>
    <t>Top</t>
  </si>
  <si>
    <t>Bottom</t>
  </si>
  <si>
    <t xml:space="preserve">Front </t>
  </si>
  <si>
    <t>Back</t>
  </si>
  <si>
    <t>Left</t>
  </si>
  <si>
    <t>Right</t>
  </si>
  <si>
    <t>Removable Shield Delta</t>
  </si>
  <si>
    <t>EFW TOTAL</t>
  </si>
  <si>
    <t>Undeployed/
Deployed Mass</t>
  </si>
  <si>
    <t>SPB</t>
  </si>
  <si>
    <t>SPB undeployed mass</t>
  </si>
  <si>
    <t>SPB deployed mass</t>
  </si>
  <si>
    <t>AXB</t>
  </si>
  <si>
    <t>AXB undeployed mass</t>
  </si>
  <si>
    <t>AXB deployed mass</t>
  </si>
  <si>
    <t>Outer Dim</t>
  </si>
  <si>
    <t>INCHES</t>
  </si>
  <si>
    <t>CM</t>
  </si>
  <si>
    <t>Thickness</t>
  </si>
  <si>
    <t>APL Recommended Total Shield</t>
  </si>
  <si>
    <t>Shield</t>
  </si>
  <si>
    <t>Inches</t>
  </si>
  <si>
    <t>Al Density</t>
  </si>
  <si>
    <t>g/cc</t>
  </si>
  <si>
    <t>Avg Board</t>
  </si>
  <si>
    <t>grams Measured Flight DIB (HESSI)</t>
  </si>
  <si>
    <t>grams Measured Flight THEMIS</t>
  </si>
  <si>
    <t>grams Average Below</t>
  </si>
  <si>
    <t>RBSP</t>
  </si>
  <si>
    <t>Scale Factor</t>
  </si>
  <si>
    <t>THEMIS</t>
  </si>
  <si>
    <t>Rev B, JWB, UCBSSL, 15 Nov 2005. Updated THM-&gt;RBSP shielding factor (7 mm Al, rather than 16!!).</t>
  </si>
  <si>
    <t>[4] DFB</t>
  </si>
  <si>
    <t>[5] BEB</t>
  </si>
  <si>
    <t>BEB</t>
  </si>
  <si>
    <t>[2] FGE</t>
  </si>
  <si>
    <t>[2] PCB</t>
  </si>
  <si>
    <t>1/2-DCB (ETC removed).</t>
  </si>
  <si>
    <t>[4] ETC</t>
  </si>
  <si>
    <t>PCB/FGE</t>
  </si>
  <si>
    <t>[4] DCB/SSR</t>
  </si>
  <si>
    <t>[1] LVPS</t>
  </si>
  <si>
    <t>1 inch</t>
  </si>
  <si>
    <t>top</t>
  </si>
  <si>
    <t>.25 inch</t>
  </si>
  <si>
    <t>Thermal</t>
  </si>
  <si>
    <t>5 boards</t>
  </si>
  <si>
    <t>5 x .5 each</t>
  </si>
  <si>
    <t>TOTAL</t>
  </si>
  <si>
    <t>4.75 inch</t>
  </si>
  <si>
    <t>1.92 kg</t>
  </si>
  <si>
    <t>N Boards</t>
  </si>
  <si>
    <t>Sep (cm)</t>
  </si>
  <si>
    <t>Length</t>
  </si>
  <si>
    <t>Width</t>
  </si>
  <si>
    <t>Itemized</t>
  </si>
  <si>
    <t>inches</t>
  </si>
  <si>
    <t>Unshielded</t>
  </si>
  <si>
    <t>x</t>
  </si>
  <si>
    <t>y</t>
  </si>
  <si>
    <t>z</t>
  </si>
  <si>
    <t>Vol(cc)</t>
  </si>
  <si>
    <t>Mass(g)</t>
  </si>
  <si>
    <t>Mass</t>
  </si>
  <si>
    <t>Shielding</t>
  </si>
  <si>
    <t>Length (m)</t>
  </si>
  <si>
    <t>Total</t>
  </si>
  <si>
    <t>reserve</t>
  </si>
  <si>
    <t>Dimensions (m)</t>
  </si>
  <si>
    <t>Mass (kg)</t>
  </si>
  <si>
    <t>AXB ass'y 1st Mode</t>
  </si>
  <si>
    <t>bus fits</t>
  </si>
  <si>
    <t>ICD VALUES</t>
  </si>
  <si>
    <t>RBSP EFW Booms Worksheet Common Data Block (Exploded)</t>
  </si>
  <si>
    <t>RBSP Mission Design Information (APL) Common Data Block (Exploded)</t>
  </si>
  <si>
    <t>kg. dry</t>
  </si>
  <si>
    <t>SPB PROPERTIES</t>
  </si>
  <si>
    <t>Rad
shield
(kg)</t>
  </si>
  <si>
    <t>CBE
w/  shield</t>
  </si>
  <si>
    <r>
      <t xml:space="preserve">% 
</t>
    </r>
    <r>
      <rPr>
        <sz val="10"/>
        <rFont val="Arial"/>
        <family val="2"/>
      </rPr>
      <t>growth</t>
    </r>
    <r>
      <rPr>
        <b/>
        <sz val="10"/>
        <rFont val="Arial"/>
        <family val="2"/>
      </rPr>
      <t xml:space="preserve">
AGM</t>
    </r>
  </si>
  <si>
    <t>Maturity Level</t>
  </si>
  <si>
    <t>RBSP Harness Calculations</t>
  </si>
  <si>
    <t>RBSP IDPU BOX MASS CALCULATION</t>
  </si>
  <si>
    <t>kg/m (main booms)</t>
  </si>
  <si>
    <t>Sphere &amp; Fine Wire</t>
  </si>
  <si>
    <t>Puck Preamp</t>
  </si>
  <si>
    <t>Main Cable</t>
  </si>
  <si>
    <t>AXB Sphere &amp; Preamp</t>
  </si>
  <si>
    <t>AXB Whip Hinge</t>
  </si>
  <si>
    <t>Sphere &amp; Preamp</t>
  </si>
  <si>
    <t>Whip Hinge</t>
  </si>
  <si>
    <t>Whip</t>
  </si>
  <si>
    <t>Revised Mounting Feet</t>
  </si>
  <si>
    <t>Revised Title:</t>
  </si>
  <si>
    <t>Original Title:</t>
  </si>
  <si>
    <t>RBSP_EFW_Booms_001</t>
  </si>
  <si>
    <t>Rev I</t>
  </si>
  <si>
    <t>RBSP_EFW_SYS_003_Mass</t>
  </si>
  <si>
    <t>Rev J</t>
  </si>
  <si>
    <t>Dave Pankow UCBSSL, 16 June 2008</t>
  </si>
  <si>
    <t>Dave Pankow UCBSSL, 20 Aug 2008</t>
  </si>
  <si>
    <t>11) Minor pre-PDR updates of Box Masses</t>
  </si>
  <si>
    <t>10) Merged &amp; Linked Box Level and Booms Data into a single file which was renamed EFW_SYS_003_Mass</t>
  </si>
  <si>
    <t>Rev K</t>
  </si>
  <si>
    <t>Dave Curtis, UCBSSL, 25 Aug 2008</t>
  </si>
  <si>
    <t>12) Update AXB tube mass CBE and NTE per JM</t>
  </si>
  <si>
    <t>Rev L</t>
  </si>
  <si>
    <t>Dave Pankow UCBSSL, 20 Nov 2008</t>
  </si>
  <si>
    <t>13) Reformat to fixed value NTE's following MPDR</t>
  </si>
  <si>
    <t>14) AXB dipole set to 14m - to be deployed only as far as margins allow</t>
  </si>
  <si>
    <t>g</t>
  </si>
  <si>
    <t>D9/HD15 Connector w/backshell</t>
  </si>
  <si>
    <t>D15/HD26 Connector w/backshell</t>
  </si>
  <si>
    <t>D37/HD62 Connector w/backshell</t>
  </si>
  <si>
    <t>g, g/m</t>
  </si>
  <si>
    <t>#26 Gauge wire</t>
  </si>
  <si>
    <t>g/m</t>
  </si>
  <si>
    <t>#24 Gauge Wire</t>
  </si>
  <si>
    <t>RG178</t>
  </si>
  <si>
    <t>Unit</t>
  </si>
  <si>
    <t>Glenair backshells</t>
  </si>
  <si>
    <t>Gelnair Aracon</t>
  </si>
  <si>
    <t>Length+Margin</t>
  </si>
  <si>
    <t>Total harness</t>
  </si>
  <si>
    <t>Summary</t>
  </si>
  <si>
    <t>IDPU to Bulkhead A (AXB) Power</t>
  </si>
  <si>
    <t>IDPU to Bulkhead A (AXB) Signal</t>
  </si>
  <si>
    <t>IDPU, DD62</t>
  </si>
  <si>
    <t>(share w/SPB)</t>
  </si>
  <si>
    <t>IDPU, DD26</t>
  </si>
  <si>
    <t>(share w/EMFISIS)</t>
  </si>
  <si>
    <t>Bulkhead A, DD26</t>
  </si>
  <si>
    <t>Bulkhead A, D37</t>
  </si>
  <si>
    <t>Bulkhead A to Bulkhead B,C Power</t>
  </si>
  <si>
    <t>Bulkhead B, DD26</t>
  </si>
  <si>
    <t>A to B Length (m)</t>
  </si>
  <si>
    <t>A to B Length+Margin</t>
  </si>
  <si>
    <t>A to C Length</t>
  </si>
  <si>
    <t>A to C length+Margin</t>
  </si>
  <si>
    <t>Power, 2*8*#24TP+Shield</t>
  </si>
  <si>
    <t>Signal, 2*Coax+5*#26+Shield</t>
  </si>
  <si>
    <t>Power, 8*#24TP+Shield</t>
  </si>
  <si>
    <t>Bulkhead C, DD26</t>
  </si>
  <si>
    <t>Bulkhead A to Bulkhead B,C Signal</t>
  </si>
  <si>
    <t>Bulkhead B, DD15</t>
  </si>
  <si>
    <t>Bulkhead C, DD15</t>
  </si>
  <si>
    <t>Signal, 2*(2*Coax+5*#26)+Shield</t>
  </si>
  <si>
    <t>Bulkhead B to AXB5 JA,JD Power</t>
  </si>
  <si>
    <t>JA to JD length</t>
  </si>
  <si>
    <t>Bulkhead B to JD length</t>
  </si>
  <si>
    <t>Bulkhead B to JD length +Margin</t>
  </si>
  <si>
    <t>JA to JD length +Margin</t>
  </si>
  <si>
    <t>Harness Length Margin</t>
  </si>
  <si>
    <t>JA, D15</t>
  </si>
  <si>
    <t>JD, DD26</t>
  </si>
  <si>
    <t>B to JD, 8*#24TP+Shield</t>
  </si>
  <si>
    <t>JD to JA, 6*#24TP+Coax+Shield</t>
  </si>
  <si>
    <t>Bulkhead B to AXB5 JB Signal</t>
  </si>
  <si>
    <t>Bulkhead B to JB length</t>
  </si>
  <si>
    <t>Bulkhead B to JB length +Margin</t>
  </si>
  <si>
    <t>JB, DD15</t>
  </si>
  <si>
    <t>Bulkhead C to AXB6 JA,JD Power</t>
  </si>
  <si>
    <t>Bulkhead C to JD length</t>
  </si>
  <si>
    <t>Bulkhead C to JD length +Margin</t>
  </si>
  <si>
    <t>Bulkhead C to JB length</t>
  </si>
  <si>
    <t>Bulkhead C to JB length +Margin</t>
  </si>
  <si>
    <t>Bulkhead C to AXB5 JB Signal</t>
  </si>
  <si>
    <t>IDPU to SPB Power</t>
  </si>
  <si>
    <t>IDPU to SPB1</t>
  </si>
  <si>
    <t>IDPU to SPB1 + Margin</t>
  </si>
  <si>
    <t>IDPU to SPB2</t>
  </si>
  <si>
    <t>IDPU to SPB2 + Margin</t>
  </si>
  <si>
    <t>IDPU to SPB3</t>
  </si>
  <si>
    <t>IDPU to SPB3 + Margin</t>
  </si>
  <si>
    <t>IDPU to SPB4</t>
  </si>
  <si>
    <t>IDPU to SPB4 + Margin</t>
  </si>
  <si>
    <t>Power, 3*#24TP+Shield</t>
  </si>
  <si>
    <t>(IDPU connector included in AXB harness)</t>
  </si>
  <si>
    <t>IDPU to SPB Signal</t>
  </si>
  <si>
    <t>Signal, 2*Coax+5*Signal+Shield</t>
  </si>
  <si>
    <t>SPB JX, D9 (*4)</t>
  </si>
  <si>
    <t>SPB JV, DD15 (*4)</t>
  </si>
  <si>
    <t>IDPU Signal, DD26 (*2)</t>
  </si>
  <si>
    <t>(Share with EMFISIS)</t>
  </si>
  <si>
    <t>Part masses</t>
  </si>
  <si>
    <t>IDPU to MEB</t>
  </si>
  <si>
    <t>IDPU to MEB + Margin</t>
  </si>
  <si>
    <t>IDPU to MEB, E-Fields</t>
  </si>
  <si>
    <t>EFW connectors shared</t>
  </si>
  <si>
    <t>Signal, 3*Coax+Shield</t>
  </si>
  <si>
    <t>IDPU to MEB, MAG+SCM</t>
  </si>
  <si>
    <t>EMFISIS J503, DD15</t>
  </si>
  <si>
    <t>EMFISIS J703, DD15</t>
  </si>
  <si>
    <t>EMFISIS J606, DD15</t>
  </si>
  <si>
    <t>Signal, 6*Coax+Shield</t>
  </si>
  <si>
    <t>EFW J703, DD26</t>
  </si>
  <si>
    <t>APL, 10-30-2008</t>
  </si>
  <si>
    <t>Rev M</t>
  </si>
  <si>
    <t>15)  Update harness lengths from APL , add bulkhead connectors (includies all EFW to EMFISIS harnessing)</t>
  </si>
  <si>
    <t>Twisted Pair Margin</t>
  </si>
  <si>
    <t>#24 TP</t>
  </si>
  <si>
    <t>Sphere Spring Reel Performance</t>
  </si>
  <si>
    <r>
      <t>•</t>
    </r>
    <r>
      <rPr>
        <sz val="10"/>
        <color indexed="16"/>
        <rFont val="Arial"/>
        <family val="2"/>
      </rPr>
      <t xml:space="preserve"> Upper Plot is Extending, Lower is Retracting</t>
    </r>
  </si>
  <si>
    <r>
      <t>•</t>
    </r>
    <r>
      <rPr>
        <sz val="10"/>
        <color indexed="16"/>
        <rFont val="Arial"/>
        <family val="2"/>
      </rPr>
      <t xml:space="preserve"> Force is produced by Sphere Mass (cell K6)</t>
    </r>
  </si>
  <si>
    <t>Dave Curtis / David Pankow, UCBSSL, 9-Dec-2008</t>
  </si>
  <si>
    <t>16)  Add SPB spring reel characteristics plot</t>
  </si>
  <si>
    <t>A</t>
  </si>
  <si>
    <t>A Mass, g</t>
  </si>
  <si>
    <t>B Mass, g</t>
  </si>
  <si>
    <t>B</t>
  </si>
  <si>
    <t>Rev N</t>
  </si>
  <si>
    <t>Dave Curtis, UCBSSL, 2-Feb-2009</t>
  </si>
  <si>
    <t>17)  Updated harness lengths from APL, different for A and B</t>
  </si>
  <si>
    <t>APL, 2009-1-29, A&amp;B</t>
  </si>
  <si>
    <t>A&amp;B</t>
  </si>
  <si>
    <t>Obs A</t>
  </si>
  <si>
    <t>Obs B</t>
  </si>
  <si>
    <t>Harness B</t>
  </si>
  <si>
    <t>Harness A</t>
  </si>
  <si>
    <t>Rev O</t>
  </si>
  <si>
    <t>18)  Updated AXB mass from ETU measurement</t>
  </si>
  <si>
    <t>19)  Updated SPB mass from calculation</t>
  </si>
  <si>
    <t>Adjustment</t>
  </si>
  <si>
    <t>20)  Add EFW to EMFISIS harness mass allocation off EMFISIS' books to harness NTE</t>
  </si>
  <si>
    <t>kg (mesured ETU)</t>
  </si>
  <si>
    <t>ETU Measured 2009-4-1</t>
  </si>
  <si>
    <t>21)  Updated IDPU with ETU measurments</t>
  </si>
  <si>
    <t>Chassis less shield</t>
  </si>
  <si>
    <t>ETU Measured 2009-4-1 (excludes card front pannels; included with the cards)</t>
  </si>
  <si>
    <t>#26</t>
  </si>
  <si>
    <t>#24</t>
  </si>
  <si>
    <t>Coax</t>
  </si>
  <si>
    <t>Total Lengths</t>
  </si>
  <si>
    <t>Nexans 50CIS</t>
  </si>
  <si>
    <t>Dave Curtis, UCBSSL 3-Apr-2009</t>
  </si>
  <si>
    <t>APL, 2009-4-30, A&amp;B</t>
  </si>
  <si>
    <t>Rev P</t>
  </si>
  <si>
    <t>22)  Updated harness lengths from APL gives new harness mass estimates</t>
  </si>
  <si>
    <t>Dave Curtis, UCBSSL 4-May-2009</t>
  </si>
  <si>
    <t>2009-5-4  G.Dalton ETU measurement (with closeout covers modeled)</t>
  </si>
  <si>
    <t>23)  Updated SPB masses from ETU measurements</t>
  </si>
  <si>
    <t>24)  Reallocated NTE mass from AXB and IDPU to improved Harness NTE</t>
  </si>
  <si>
    <t>Rev Q</t>
  </si>
  <si>
    <t>Dave Curtis, UCBSSL 19-May-2009</t>
  </si>
  <si>
    <t>25)  Update SPB deployment rate on SPB sheet</t>
  </si>
  <si>
    <t>SPB Deployment Rates</t>
  </si>
  <si>
    <t>Bus</t>
  </si>
  <si>
    <t>Volts</t>
  </si>
  <si>
    <t>Rate</t>
  </si>
  <si>
    <t>cm/s</t>
  </si>
  <si>
    <t>DCB</t>
  </si>
  <si>
    <t>Updated with ETU Masses</t>
  </si>
  <si>
    <t>Updated ETU AXB Mass</t>
  </si>
  <si>
    <r>
      <t>Rev R</t>
    </r>
    <r>
      <rPr>
        <sz val="10"/>
        <rFont val="Arial"/>
      </rPr>
      <t xml:space="preserve"> Michael Ludlam, UCBSSL 13-Sep-2009</t>
    </r>
  </si>
  <si>
    <r>
      <t>Rev T</t>
    </r>
    <r>
      <rPr>
        <sz val="10"/>
        <rFont val="Arial"/>
      </rPr>
      <t xml:space="preserve"> Michael Ludlam, UCBSSL 16-Sep-2009</t>
    </r>
  </si>
  <si>
    <t>Measured ETU</t>
  </si>
  <si>
    <t>Measured SPB SN1 Without Bolts and Thermal Treatments.</t>
  </si>
  <si>
    <t>F2 Measured, HRN003 missing 1 backshell</t>
  </si>
  <si>
    <t>Measured FM1 SN_005</t>
  </si>
  <si>
    <t>Measured FM1 SN_004</t>
  </si>
  <si>
    <t>Measured FM2 SN_003</t>
  </si>
  <si>
    <t>Measured FM2 SN_006</t>
  </si>
  <si>
    <t>FM measurement after coating. Includes 2 savers.</t>
  </si>
  <si>
    <t>FM Measurement at LASP+ Estimate for coat/stake</t>
  </si>
  <si>
    <t>ETU measurement + Estimate for coat/stake</t>
  </si>
  <si>
    <t>Measured FM</t>
  </si>
  <si>
    <t>FM1 Harness mass measured</t>
  </si>
  <si>
    <r>
      <t>Core Flight Config wet (kgm</t>
    </r>
    <r>
      <rPr>
        <b/>
        <vertAlign val="superscript"/>
        <sz val="7.5"/>
        <rFont val="Arial"/>
        <family val="2"/>
      </rPr>
      <t>2</t>
    </r>
    <r>
      <rPr>
        <b/>
        <sz val="10"/>
        <rFont val="Arial"/>
        <family val="2"/>
      </rPr>
      <t>)</t>
    </r>
  </si>
  <si>
    <t>Spacecraft A</t>
  </si>
  <si>
    <t>Spacecraft B</t>
  </si>
  <si>
    <t>These values are Linked →</t>
  </si>
  <si>
    <r>
      <t>Dynamic Stability Update</t>
    </r>
    <r>
      <rPr>
        <sz val="10"/>
        <rFont val="Arial"/>
      </rPr>
      <t xml:space="preserve"> 3-19-12 (p.2)</t>
    </r>
    <r>
      <rPr>
        <i/>
        <sz val="10"/>
        <rFont val="Arial"/>
        <family val="2"/>
      </rPr>
      <t xml:space="preserve"> Robin Vaughan &amp; Hollis Ambrose</t>
    </r>
  </si>
  <si>
    <r>
      <t xml:space="preserve"> Mass Props Measured</t>
    </r>
    <r>
      <rPr>
        <sz val="10"/>
        <rFont val="Arial"/>
      </rPr>
      <t xml:space="preserve"> 7-27-12 - XLS Summary Page - </t>
    </r>
    <r>
      <rPr>
        <i/>
        <sz val="10"/>
        <rFont val="Arial"/>
        <family val="2"/>
      </rPr>
      <t>Gabe Rogers</t>
    </r>
  </si>
  <si>
    <t>row 23 &amp; 57: 7.00 was</t>
  </si>
  <si>
    <t>G's to start retract</t>
  </si>
  <si>
    <t>row 31 &amp; 65: 14.00 was</t>
  </si>
  <si>
    <t>row 41 &amp; 75: 11.00 was</t>
  </si>
  <si>
    <t>G's for full extend</t>
  </si>
  <si>
    <t>SPIN not NEEDED</t>
  </si>
  <si>
    <t>delete spin ir row 36 (20m/20m)</t>
  </si>
  <si>
    <t>kg (lightest)</t>
  </si>
  <si>
    <t>Radius</t>
  </si>
  <si>
    <t>Click Rate</t>
  </si>
  <si>
    <t>cm/click</t>
  </si>
  <si>
    <t xml:space="preserve">  (clicks)</t>
  </si>
  <si>
    <t>REV AF</t>
  </si>
  <si>
    <t>JWB</t>
  </si>
  <si>
    <t>UCBSSL</t>
  </si>
  <si>
    <t>Added Sphere deployed Radius, Click Count.</t>
  </si>
  <si>
    <t>Added Boom-3/4 (CD Pair) deploys to 45.9 and 50.0-m radius.</t>
  </si>
  <si>
    <t>verified Sphere and Preamp (Inner Puck and Rad Shield) Masses.</t>
  </si>
  <si>
    <t>REV AG</t>
  </si>
  <si>
    <t>Adjusted second spin up target rate to accommodate new final spin rate.</t>
  </si>
  <si>
    <t>Changed final spin rate from 5.19 to 5.5 RPM ('Summary &amp; ICD'B94, Gabe Rogers, APL, e-mail, 13 Aug 2012).</t>
  </si>
  <si>
    <t>EVENT</t>
  </si>
  <si>
    <t>SPIN RATE
[RPM]</t>
  </si>
  <si>
    <t>1-2 Pair
Sphere Radius
[m]</t>
  </si>
  <si>
    <t>3-4 Pair 
Stroke
[m]</t>
  </si>
  <si>
    <t>1-2 Pair 
Stroke
[m]</t>
  </si>
  <si>
    <t>3-4 Pair
Sphere Radius
[m]</t>
  </si>
  <si>
    <t>SPIN-UP</t>
  </si>
  <si>
    <t>SPIN-UP/ Fine Wire Unfurl</t>
  </si>
  <si>
    <t>Approx. Mission Day of Event</t>
  </si>
  <si>
    <t>18,19</t>
  </si>
  <si>
    <t>19,20</t>
  </si>
  <si>
    <t>22,23</t>
  </si>
  <si>
    <t>FINAL SPIN ADJ (as needed)</t>
  </si>
  <si>
    <t>NOTES:</t>
  </si>
  <si>
    <t>(1)  Mission Day assignments as per "RBSP_LEOps_timeline_20120830 as of 29 August 2012".</t>
  </si>
  <si>
    <t>(2)  Small differences in the third sig-fig of SPIN RATE expected between RBSP-A and RBSP-B due to measured differences in deployed mass properties.</t>
  </si>
  <si>
    <t>(3) STROKE is deployed length of boom cable; RADIUS is distance of EFW sphere from SC Z-axis.</t>
  </si>
  <si>
    <t>Added "SPB Deploy Summary" page for easy reference on deploy steps and spin rate waypoints.</t>
  </si>
  <si>
    <t>Adjusted final deployed lengths to 50-m monopoles (100-m tip-to-tip) lengths on both SPB axes.</t>
  </si>
</sst>
</file>

<file path=xl/styles.xml><?xml version="1.0" encoding="utf-8"?>
<styleSheet xmlns="http://schemas.openxmlformats.org/spreadsheetml/2006/main">
  <numFmts count="9">
    <numFmt numFmtId="164" formatCode="0.000"/>
    <numFmt numFmtId="165" formatCode="0.00_)"/>
    <numFmt numFmtId="166" formatCode="0_)"/>
    <numFmt numFmtId="167" formatCode="0.0000000000000"/>
    <numFmt numFmtId="168" formatCode="0.000_)"/>
    <numFmt numFmtId="169" formatCode="0.0"/>
    <numFmt numFmtId="170" formatCode="0.E+00"/>
    <numFmt numFmtId="171" formatCode="0.0000"/>
    <numFmt numFmtId="172" formatCode="0.0%"/>
  </numFmts>
  <fonts count="70">
    <font>
      <sz val="10"/>
      <name val="Arial"/>
    </font>
    <font>
      <sz val="10"/>
      <name val="Arial"/>
    </font>
    <font>
      <sz val="10"/>
      <name val="Arial"/>
      <family val="2"/>
    </font>
    <font>
      <sz val="10"/>
      <color indexed="12"/>
      <name val="Arial"/>
      <family val="2"/>
    </font>
    <font>
      <vertAlign val="superscript"/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Symbol"/>
      <family val="1"/>
      <charset val="2"/>
    </font>
    <font>
      <vertAlign val="superscript"/>
      <sz val="7.5"/>
      <name val="Arial"/>
      <family val="2"/>
    </font>
    <font>
      <sz val="8"/>
      <name val="Arial"/>
    </font>
    <font>
      <i/>
      <sz val="10"/>
      <name val="Arial"/>
      <family val="2"/>
    </font>
    <font>
      <b/>
      <sz val="10"/>
      <color indexed="16"/>
      <name val="Arial"/>
      <family val="2"/>
    </font>
    <font>
      <sz val="10"/>
      <color indexed="16"/>
      <name val="Arial"/>
      <family val="2"/>
    </font>
    <font>
      <vertAlign val="superscript"/>
      <sz val="10"/>
      <name val="Arial"/>
      <family val="2"/>
    </font>
    <font>
      <sz val="10"/>
      <color indexed="12"/>
      <name val="Arial"/>
    </font>
    <font>
      <i/>
      <sz val="10"/>
      <name val="Arial"/>
    </font>
    <font>
      <sz val="8"/>
      <color indexed="12"/>
      <name val="Arial"/>
      <family val="2"/>
    </font>
    <font>
      <b/>
      <sz val="12"/>
      <color indexed="16"/>
      <name val="Arial"/>
      <family val="2"/>
    </font>
    <font>
      <b/>
      <sz val="10"/>
      <color indexed="12"/>
      <name val="Arial"/>
      <family val="2"/>
    </font>
    <font>
      <b/>
      <vertAlign val="superscript"/>
      <sz val="7.5"/>
      <name val="Arial"/>
      <family val="2"/>
    </font>
    <font>
      <sz val="9"/>
      <name val="Arial"/>
      <family val="2"/>
    </font>
    <font>
      <sz val="9"/>
      <name val="Arial"/>
    </font>
    <font>
      <b/>
      <sz val="10"/>
      <name val="Arial"/>
    </font>
    <font>
      <b/>
      <sz val="10"/>
      <color indexed="16"/>
      <name val="Arial"/>
    </font>
    <font>
      <b/>
      <sz val="8"/>
      <color indexed="12"/>
      <name val="Arial"/>
      <family val="2"/>
    </font>
    <font>
      <sz val="8"/>
      <color indexed="12"/>
      <name val="Arial"/>
    </font>
    <font>
      <b/>
      <sz val="8"/>
      <color indexed="12"/>
      <name val="Arial"/>
    </font>
    <font>
      <vertAlign val="superscript"/>
      <sz val="8"/>
      <color indexed="12"/>
      <name val="Arial"/>
      <family val="2"/>
    </font>
    <font>
      <vertAlign val="superscript"/>
      <sz val="8"/>
      <color indexed="12"/>
      <name val="Arial"/>
    </font>
    <font>
      <sz val="10"/>
      <color indexed="16"/>
      <name val="Arial"/>
    </font>
    <font>
      <vertAlign val="subscript"/>
      <sz val="10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sz val="8"/>
      <color indexed="12"/>
      <name val="Symbol"/>
      <family val="1"/>
      <charset val="2"/>
    </font>
    <font>
      <sz val="6"/>
      <color indexed="12"/>
      <name val="Arial"/>
    </font>
    <font>
      <sz val="10"/>
      <color indexed="12"/>
      <name val="Symbol"/>
      <family val="1"/>
      <charset val="2"/>
    </font>
    <font>
      <vertAlign val="superscript"/>
      <sz val="10"/>
      <color indexed="12"/>
      <name val="Arial"/>
      <family val="2"/>
    </font>
    <font>
      <vertAlign val="superscript"/>
      <sz val="10"/>
      <color indexed="12"/>
      <name val="Arial"/>
    </font>
    <font>
      <b/>
      <sz val="10"/>
      <color indexed="10"/>
      <name val="Arial"/>
      <family val="2"/>
    </font>
    <font>
      <b/>
      <sz val="8"/>
      <color indexed="16"/>
      <name val="Arial"/>
      <family val="2"/>
    </font>
    <font>
      <sz val="8"/>
      <color indexed="16"/>
      <name val="Arial"/>
      <family val="2"/>
    </font>
    <font>
      <b/>
      <sz val="10"/>
      <color indexed="17"/>
      <name val="Arial"/>
      <family val="2"/>
    </font>
    <font>
      <b/>
      <sz val="10"/>
      <color indexed="17"/>
      <name val="Symbol"/>
      <family val="1"/>
      <charset val="2"/>
    </font>
    <font>
      <sz val="10"/>
      <color indexed="17"/>
      <name val="Arial"/>
    </font>
    <font>
      <sz val="10"/>
      <color indexed="22"/>
      <name val="Arial"/>
    </font>
    <font>
      <b/>
      <sz val="12"/>
      <name val="Arial"/>
      <family val="2"/>
    </font>
    <font>
      <sz val="9"/>
      <name val="Symbol"/>
      <family val="1"/>
      <charset val="2"/>
    </font>
    <font>
      <b/>
      <sz val="7.5"/>
      <color indexed="17"/>
      <name val="Symbol"/>
      <family val="1"/>
      <charset val="2"/>
    </font>
    <font>
      <sz val="8"/>
      <name val="Symbol"/>
      <family val="1"/>
      <charset val="2"/>
    </font>
    <font>
      <b/>
      <sz val="14"/>
      <color indexed="16"/>
      <name val="Arial"/>
      <family val="2"/>
    </font>
    <font>
      <sz val="14"/>
      <name val="Arial"/>
      <family val="2"/>
    </font>
    <font>
      <i/>
      <sz val="8"/>
      <name val="Arial"/>
      <family val="2"/>
    </font>
    <font>
      <b/>
      <i/>
      <sz val="8"/>
      <name val="Arial"/>
      <family val="2"/>
    </font>
    <font>
      <b/>
      <sz val="8"/>
      <name val="Arial"/>
      <family val="2"/>
    </font>
    <font>
      <b/>
      <i/>
      <u/>
      <sz val="8"/>
      <name val="Arial"/>
      <family val="2"/>
    </font>
    <font>
      <b/>
      <sz val="10"/>
      <color indexed="48"/>
      <name val="Arial"/>
      <family val="2"/>
    </font>
    <font>
      <sz val="9"/>
      <color indexed="22"/>
      <name val="Arial"/>
      <family val="2"/>
    </font>
    <font>
      <b/>
      <sz val="16"/>
      <name val="Arial"/>
      <family val="2"/>
    </font>
    <font>
      <sz val="9"/>
      <color indexed="12"/>
      <name val="Arial"/>
      <family val="2"/>
    </font>
    <font>
      <i/>
      <sz val="8"/>
      <color indexed="12"/>
      <name val="Arial"/>
      <family val="2"/>
    </font>
    <font>
      <b/>
      <i/>
      <sz val="8"/>
      <color indexed="12"/>
      <name val="Arial"/>
      <family val="2"/>
    </font>
    <font>
      <i/>
      <sz val="8"/>
      <color indexed="16"/>
      <name val="Arial"/>
      <family val="2"/>
    </font>
    <font>
      <b/>
      <sz val="14"/>
      <name val="Arial"/>
    </font>
    <font>
      <sz val="12"/>
      <name val="Arial"/>
    </font>
    <font>
      <sz val="10"/>
      <color indexed="10"/>
      <name val="Arial"/>
    </font>
    <font>
      <sz val="10"/>
      <color indexed="60"/>
      <name val="Arial"/>
      <family val="2"/>
    </font>
    <font>
      <sz val="10"/>
      <color indexed="8"/>
      <name val="Calibri"/>
      <family val="2"/>
    </font>
    <font>
      <i/>
      <sz val="10"/>
      <color indexed="12"/>
      <name val="Arial"/>
      <family val="2"/>
    </font>
    <font>
      <b/>
      <i/>
      <sz val="10"/>
      <name val="Arial"/>
      <family val="2"/>
    </font>
    <font>
      <b/>
      <i/>
      <sz val="12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66">
    <xf numFmtId="0" fontId="0" fillId="0" borderId="0" xfId="0"/>
    <xf numFmtId="0" fontId="2" fillId="0" borderId="0" xfId="0" applyFont="1" applyAlignment="1" applyProtection="1">
      <alignment horizontal="left"/>
    </xf>
    <xf numFmtId="0" fontId="2" fillId="0" borderId="0" xfId="0" applyFont="1"/>
    <xf numFmtId="0" fontId="3" fillId="0" borderId="0" xfId="0" applyFont="1" applyAlignment="1" applyProtection="1">
      <alignment horizontal="left"/>
      <protection locked="0"/>
    </xf>
    <xf numFmtId="0" fontId="3" fillId="0" borderId="0" xfId="0" applyFont="1" applyProtection="1">
      <protection locked="0"/>
    </xf>
    <xf numFmtId="165" fontId="2" fillId="0" borderId="0" xfId="0" applyNumberFormat="1" applyFont="1" applyProtection="1"/>
    <xf numFmtId="0" fontId="2" fillId="0" borderId="0" xfId="0" applyFont="1" applyProtection="1"/>
    <xf numFmtId="0" fontId="2" fillId="0" borderId="0" xfId="0" applyFont="1" applyBorder="1"/>
    <xf numFmtId="0" fontId="0" fillId="0" borderId="0" xfId="0" applyBorder="1"/>
    <xf numFmtId="0" fontId="7" fillId="0" borderId="0" xfId="0" applyFont="1" applyAlignment="1" applyProtection="1">
      <alignment horizontal="left"/>
    </xf>
    <xf numFmtId="165" fontId="2" fillId="0" borderId="0" xfId="0" applyNumberFormat="1" applyFont="1" applyBorder="1" applyProtection="1"/>
    <xf numFmtId="2" fontId="2" fillId="0" borderId="0" xfId="0" applyNumberFormat="1" applyFont="1" applyProtection="1"/>
    <xf numFmtId="0" fontId="11" fillId="0" borderId="0" xfId="0" applyFont="1" applyAlignment="1" applyProtection="1">
      <alignment horizontal="left"/>
      <protection locked="0"/>
    </xf>
    <xf numFmtId="0" fontId="12" fillId="0" borderId="0" xfId="0" applyFont="1" applyAlignment="1" applyProtection="1">
      <alignment horizontal="left"/>
      <protection locked="0"/>
    </xf>
    <xf numFmtId="0" fontId="12" fillId="0" borderId="0" xfId="0" applyFont="1" applyProtection="1">
      <protection locked="0"/>
    </xf>
    <xf numFmtId="0" fontId="6" fillId="0" borderId="0" xfId="0" applyFont="1" applyAlignment="1" applyProtection="1">
      <alignment horizontal="left"/>
    </xf>
    <xf numFmtId="169" fontId="2" fillId="0" borderId="0" xfId="0" applyNumberFormat="1" applyFont="1" applyProtection="1"/>
    <xf numFmtId="0" fontId="2" fillId="0" borderId="0" xfId="0" applyFont="1" applyBorder="1" applyAlignment="1" applyProtection="1">
      <protection locked="0"/>
    </xf>
    <xf numFmtId="2" fontId="5" fillId="0" borderId="1" xfId="0" applyNumberFormat="1" applyFont="1" applyBorder="1"/>
    <xf numFmtId="2" fontId="2" fillId="0" borderId="0" xfId="0" applyNumberFormat="1" applyFont="1" applyBorder="1"/>
    <xf numFmtId="164" fontId="5" fillId="0" borderId="0" xfId="0" applyNumberFormat="1" applyFont="1" applyBorder="1"/>
    <xf numFmtId="9" fontId="2" fillId="0" borderId="0" xfId="0" applyNumberFormat="1" applyFont="1"/>
    <xf numFmtId="1" fontId="2" fillId="0" borderId="0" xfId="0" applyNumberFormat="1" applyFont="1" applyProtection="1"/>
    <xf numFmtId="2" fontId="3" fillId="0" borderId="0" xfId="0" applyNumberFormat="1" applyFont="1" applyProtection="1"/>
    <xf numFmtId="0" fontId="5" fillId="0" borderId="0" xfId="0" applyFont="1" applyBorder="1"/>
    <xf numFmtId="0" fontId="0" fillId="2" borderId="0" xfId="0" applyFill="1"/>
    <xf numFmtId="0" fontId="11" fillId="2" borderId="0" xfId="0" applyFont="1" applyFill="1" applyAlignment="1" applyProtection="1">
      <alignment horizontal="left"/>
      <protection locked="0"/>
    </xf>
    <xf numFmtId="0" fontId="2" fillId="2" borderId="0" xfId="0" applyFont="1" applyFill="1"/>
    <xf numFmtId="0" fontId="3" fillId="2" borderId="0" xfId="0" applyFont="1" applyFill="1" applyProtection="1">
      <protection locked="0"/>
    </xf>
    <xf numFmtId="0" fontId="2" fillId="2" borderId="0" xfId="0" applyFont="1" applyFill="1" applyAlignment="1" applyProtection="1">
      <alignment horizontal="left"/>
    </xf>
    <xf numFmtId="0" fontId="1" fillId="2" borderId="0" xfId="0" applyFont="1" applyFill="1" applyAlignment="1" applyProtection="1">
      <alignment horizontal="left"/>
      <protection locked="0"/>
    </xf>
    <xf numFmtId="0" fontId="1" fillId="2" borderId="0" xfId="0" applyFont="1" applyFill="1"/>
    <xf numFmtId="0" fontId="2" fillId="2" borderId="0" xfId="0" applyFont="1" applyFill="1" applyBorder="1" applyAlignment="1" applyProtection="1">
      <alignment horizontal="left"/>
    </xf>
    <xf numFmtId="0" fontId="0" fillId="2" borderId="0" xfId="0" applyFill="1" applyBorder="1"/>
    <xf numFmtId="0" fontId="5" fillId="2" borderId="0" xfId="0" applyFont="1" applyFill="1" applyAlignment="1" applyProtection="1">
      <alignment horizontal="left"/>
    </xf>
    <xf numFmtId="0" fontId="1" fillId="2" borderId="0" xfId="0" applyFont="1" applyFill="1" applyProtection="1"/>
    <xf numFmtId="167" fontId="3" fillId="2" borderId="0" xfId="0" applyNumberFormat="1" applyFont="1" applyFill="1" applyBorder="1" applyProtection="1">
      <protection locked="0"/>
    </xf>
    <xf numFmtId="2" fontId="18" fillId="2" borderId="2" xfId="0" applyNumberFormat="1" applyFont="1" applyFill="1" applyBorder="1"/>
    <xf numFmtId="0" fontId="17" fillId="0" borderId="0" xfId="0" applyFont="1"/>
    <xf numFmtId="2" fontId="11" fillId="2" borderId="2" xfId="0" applyNumberFormat="1" applyFont="1" applyFill="1" applyBorder="1"/>
    <xf numFmtId="164" fontId="11" fillId="2" borderId="2" xfId="0" applyNumberFormat="1" applyFont="1" applyFill="1" applyBorder="1"/>
    <xf numFmtId="0" fontId="21" fillId="2" borderId="0" xfId="0" applyFont="1" applyFill="1"/>
    <xf numFmtId="0" fontId="20" fillId="2" borderId="0" xfId="0" applyFont="1" applyFill="1" applyBorder="1" applyAlignment="1" applyProtection="1">
      <alignment horizontal="left"/>
    </xf>
    <xf numFmtId="0" fontId="3" fillId="2" borderId="0" xfId="0" applyFont="1" applyFill="1" applyAlignment="1" applyProtection="1">
      <alignment horizontal="left"/>
    </xf>
    <xf numFmtId="0" fontId="14" fillId="2" borderId="0" xfId="0" applyFont="1" applyFill="1"/>
    <xf numFmtId="164" fontId="2" fillId="0" borderId="0" xfId="0" applyNumberFormat="1" applyFont="1" applyBorder="1" applyProtection="1"/>
    <xf numFmtId="0" fontId="2" fillId="0" borderId="0" xfId="0" applyNumberFormat="1" applyFont="1" applyProtection="1"/>
    <xf numFmtId="169" fontId="11" fillId="2" borderId="2" xfId="0" applyNumberFormat="1" applyFont="1" applyFill="1" applyBorder="1"/>
    <xf numFmtId="0" fontId="1" fillId="0" borderId="0" xfId="0" applyFont="1"/>
    <xf numFmtId="1" fontId="18" fillId="2" borderId="2" xfId="0" applyNumberFormat="1" applyFont="1" applyFill="1" applyBorder="1" applyProtection="1">
      <protection locked="0"/>
    </xf>
    <xf numFmtId="164" fontId="1" fillId="0" borderId="0" xfId="0" applyNumberFormat="1" applyFont="1"/>
    <xf numFmtId="0" fontId="18" fillId="2" borderId="2" xfId="0" applyFont="1" applyFill="1" applyBorder="1"/>
    <xf numFmtId="0" fontId="1" fillId="2" borderId="0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22" fillId="0" borderId="0" xfId="0" applyFont="1"/>
    <xf numFmtId="0" fontId="1" fillId="0" borderId="0" xfId="0" applyFont="1" applyBorder="1"/>
    <xf numFmtId="0" fontId="23" fillId="0" borderId="0" xfId="0" applyFont="1" applyBorder="1"/>
    <xf numFmtId="0" fontId="22" fillId="0" borderId="0" xfId="0" applyFont="1" applyBorder="1"/>
    <xf numFmtId="0" fontId="5" fillId="0" borderId="0" xfId="0" applyFont="1" applyAlignment="1">
      <alignment horizontal="center"/>
    </xf>
    <xf numFmtId="0" fontId="14" fillId="0" borderId="3" xfId="0" applyFont="1" applyBorder="1" applyAlignment="1" applyProtection="1">
      <alignment horizontal="left"/>
      <protection locked="0"/>
    </xf>
    <xf numFmtId="0" fontId="1" fillId="0" borderId="4" xfId="0" applyFont="1" applyBorder="1"/>
    <xf numFmtId="0" fontId="14" fillId="0" borderId="4" xfId="0" applyFont="1" applyBorder="1" applyProtection="1">
      <protection locked="0"/>
    </xf>
    <xf numFmtId="0" fontId="1" fillId="0" borderId="5" xfId="0" applyFont="1" applyBorder="1"/>
    <xf numFmtId="0" fontId="5" fillId="0" borderId="0" xfId="0" applyFont="1"/>
    <xf numFmtId="0" fontId="24" fillId="0" borderId="3" xfId="0" applyFont="1" applyBorder="1" applyAlignment="1" applyProtection="1">
      <alignment horizontal="left"/>
      <protection locked="0"/>
    </xf>
    <xf numFmtId="0" fontId="16" fillId="0" borderId="5" xfId="0" applyFont="1" applyBorder="1" applyAlignment="1" applyProtection="1">
      <alignment horizontal="left"/>
      <protection locked="0"/>
    </xf>
    <xf numFmtId="0" fontId="14" fillId="0" borderId="0" xfId="0" applyFont="1" applyBorder="1" applyAlignment="1" applyProtection="1">
      <alignment horizontal="left"/>
      <protection locked="0"/>
    </xf>
    <xf numFmtId="0" fontId="14" fillId="0" borderId="0" xfId="0" applyFont="1" applyBorder="1" applyProtection="1">
      <protection locked="0"/>
    </xf>
    <xf numFmtId="0" fontId="14" fillId="0" borderId="0" xfId="0" applyFont="1" applyBorder="1" applyAlignment="1" applyProtection="1">
      <alignment horizontal="center"/>
      <protection locked="0"/>
    </xf>
    <xf numFmtId="0" fontId="14" fillId="0" borderId="1" xfId="0" applyFont="1" applyBorder="1" applyAlignment="1" applyProtection="1">
      <alignment horizontal="center"/>
      <protection locked="0"/>
    </xf>
    <xf numFmtId="0" fontId="14" fillId="0" borderId="6" xfId="0" applyFont="1" applyBorder="1" applyAlignment="1" applyProtection="1">
      <alignment horizontal="center"/>
      <protection locked="0"/>
    </xf>
    <xf numFmtId="0" fontId="2" fillId="0" borderId="0" xfId="0" applyFont="1" applyAlignment="1">
      <alignment horizontal="center"/>
    </xf>
    <xf numFmtId="0" fontId="25" fillId="0" borderId="1" xfId="0" applyFont="1" applyBorder="1" applyAlignment="1" applyProtection="1">
      <alignment horizontal="left"/>
      <protection locked="0"/>
    </xf>
    <xf numFmtId="164" fontId="26" fillId="0" borderId="6" xfId="0" applyNumberFormat="1" applyFont="1" applyBorder="1"/>
    <xf numFmtId="0" fontId="25" fillId="0" borderId="0" xfId="0" applyFont="1" applyBorder="1" applyAlignment="1" applyProtection="1">
      <alignment horizontal="left"/>
      <protection locked="0"/>
    </xf>
    <xf numFmtId="0" fontId="25" fillId="0" borderId="0" xfId="0" applyNumberFormat="1" applyFont="1" applyBorder="1" applyAlignment="1" applyProtection="1">
      <alignment horizontal="center"/>
      <protection locked="0"/>
    </xf>
    <xf numFmtId="0" fontId="16" fillId="0" borderId="0" xfId="0" applyFont="1" applyBorder="1" applyAlignment="1" applyProtection="1">
      <alignment horizontal="center"/>
      <protection locked="0"/>
    </xf>
    <xf numFmtId="0" fontId="25" fillId="0" borderId="0" xfId="0" applyFont="1" applyBorder="1" applyAlignment="1" applyProtection="1">
      <alignment horizontal="center"/>
      <protection locked="0"/>
    </xf>
    <xf numFmtId="2" fontId="5" fillId="0" borderId="0" xfId="0" applyNumberFormat="1" applyFont="1"/>
    <xf numFmtId="0" fontId="25" fillId="0" borderId="0" xfId="0" applyFont="1" applyBorder="1" applyProtection="1">
      <protection locked="0"/>
    </xf>
    <xf numFmtId="164" fontId="14" fillId="0" borderId="7" xfId="0" applyNumberFormat="1" applyFont="1" applyBorder="1"/>
    <xf numFmtId="164" fontId="1" fillId="0" borderId="8" xfId="0" applyNumberFormat="1" applyFont="1" applyBorder="1"/>
    <xf numFmtId="164" fontId="1" fillId="0" borderId="7" xfId="0" applyNumberFormat="1" applyFont="1" applyBorder="1"/>
    <xf numFmtId="164" fontId="1" fillId="0" borderId="9" xfId="0" applyNumberFormat="1" applyFont="1" applyBorder="1"/>
    <xf numFmtId="0" fontId="1" fillId="0" borderId="0" xfId="0" quotePrefix="1" applyFont="1"/>
    <xf numFmtId="164" fontId="1" fillId="0" borderId="0" xfId="0" applyNumberFormat="1" applyFont="1" applyBorder="1"/>
    <xf numFmtId="0" fontId="1" fillId="0" borderId="6" xfId="0" applyFont="1" applyBorder="1"/>
    <xf numFmtId="164" fontId="14" fillId="0" borderId="10" xfId="0" applyNumberFormat="1" applyFont="1" applyBorder="1"/>
    <xf numFmtId="0" fontId="5" fillId="0" borderId="1" xfId="0" applyFont="1" applyBorder="1"/>
    <xf numFmtId="0" fontId="29" fillId="0" borderId="6" xfId="0" applyFont="1" applyBorder="1"/>
    <xf numFmtId="164" fontId="29" fillId="0" borderId="0" xfId="0" applyNumberFormat="1" applyFont="1" applyBorder="1"/>
    <xf numFmtId="0" fontId="5" fillId="0" borderId="4" xfId="0" applyFont="1" applyBorder="1"/>
    <xf numFmtId="2" fontId="1" fillId="0" borderId="0" xfId="0" applyNumberFormat="1" applyFont="1" applyBorder="1"/>
    <xf numFmtId="0" fontId="1" fillId="0" borderId="11" xfId="0" applyFont="1" applyBorder="1"/>
    <xf numFmtId="0" fontId="1" fillId="0" borderId="12" xfId="0" applyFont="1" applyBorder="1"/>
    <xf numFmtId="0" fontId="1" fillId="0" borderId="13" xfId="0" applyFont="1" applyBorder="1"/>
    <xf numFmtId="164" fontId="1" fillId="0" borderId="13" xfId="0" applyNumberFormat="1" applyFont="1" applyBorder="1"/>
    <xf numFmtId="164" fontId="1" fillId="0" borderId="11" xfId="0" applyNumberFormat="1" applyFont="1" applyBorder="1"/>
    <xf numFmtId="2" fontId="5" fillId="0" borderId="12" xfId="0" applyNumberFormat="1" applyFont="1" applyBorder="1"/>
    <xf numFmtId="2" fontId="5" fillId="0" borderId="13" xfId="0" applyNumberFormat="1" applyFont="1" applyBorder="1"/>
    <xf numFmtId="2" fontId="5" fillId="0" borderId="11" xfId="0" applyNumberFormat="1" applyFont="1" applyBorder="1"/>
    <xf numFmtId="2" fontId="22" fillId="0" borderId="0" xfId="0" applyNumberFormat="1" applyFont="1" applyBorder="1"/>
    <xf numFmtId="0" fontId="29" fillId="0" borderId="0" xfId="0" applyFont="1" applyBorder="1"/>
    <xf numFmtId="2" fontId="5" fillId="0" borderId="0" xfId="0" applyNumberFormat="1" applyFont="1" applyBorder="1"/>
    <xf numFmtId="164" fontId="12" fillId="0" borderId="0" xfId="0" applyNumberFormat="1" applyFont="1" applyBorder="1"/>
    <xf numFmtId="0" fontId="29" fillId="0" borderId="0" xfId="0" applyNumberFormat="1" applyFont="1" applyBorder="1"/>
    <xf numFmtId="0" fontId="1" fillId="0" borderId="0" xfId="0" applyFont="1" applyFill="1" applyBorder="1"/>
    <xf numFmtId="0" fontId="2" fillId="0" borderId="14" xfId="0" quotePrefix="1" applyFont="1" applyBorder="1" applyAlignment="1" applyProtection="1">
      <alignment horizontal="left"/>
    </xf>
    <xf numFmtId="0" fontId="2" fillId="0" borderId="0" xfId="0" applyFont="1" applyFill="1" applyBorder="1"/>
    <xf numFmtId="0" fontId="22" fillId="0" borderId="0" xfId="0" applyFont="1" applyFill="1" applyBorder="1"/>
    <xf numFmtId="1" fontId="12" fillId="0" borderId="15" xfId="0" applyNumberFormat="1" applyFont="1" applyBorder="1" applyProtection="1">
      <protection locked="0"/>
    </xf>
    <xf numFmtId="169" fontId="2" fillId="0" borderId="1" xfId="0" applyNumberFormat="1" applyFont="1" applyBorder="1" applyProtection="1"/>
    <xf numFmtId="169" fontId="2" fillId="0" borderId="15" xfId="0" applyNumberFormat="1" applyFont="1" applyBorder="1" applyProtection="1"/>
    <xf numFmtId="0" fontId="1" fillId="0" borderId="0" xfId="0" applyFont="1" applyAlignment="1" applyProtection="1">
      <alignment horizontal="left"/>
    </xf>
    <xf numFmtId="1" fontId="2" fillId="0" borderId="0" xfId="0" applyNumberFormat="1" applyFont="1" applyBorder="1" applyProtection="1">
      <protection locked="0"/>
    </xf>
    <xf numFmtId="164" fontId="5" fillId="0" borderId="0" xfId="0" applyNumberFormat="1" applyFont="1"/>
    <xf numFmtId="164" fontId="12" fillId="0" borderId="1" xfId="0" applyNumberFormat="1" applyFont="1" applyBorder="1" applyProtection="1">
      <protection locked="0"/>
    </xf>
    <xf numFmtId="164" fontId="12" fillId="0" borderId="15" xfId="0" applyNumberFormat="1" applyFont="1" applyBorder="1" applyProtection="1">
      <protection locked="0"/>
    </xf>
    <xf numFmtId="0" fontId="10" fillId="0" borderId="0" xfId="0" applyFont="1" applyFill="1" applyBorder="1"/>
    <xf numFmtId="2" fontId="12" fillId="0" borderId="15" xfId="0" applyNumberFormat="1" applyFont="1" applyBorder="1" applyProtection="1">
      <protection locked="0"/>
    </xf>
    <xf numFmtId="2" fontId="12" fillId="0" borderId="1" xfId="0" applyNumberFormat="1" applyFont="1" applyBorder="1" applyProtection="1">
      <protection locked="0"/>
    </xf>
    <xf numFmtId="164" fontId="3" fillId="0" borderId="8" xfId="0" applyNumberFormat="1" applyFont="1" applyFill="1" applyBorder="1"/>
    <xf numFmtId="0" fontId="14" fillId="0" borderId="7" xfId="0" applyFont="1" applyBorder="1"/>
    <xf numFmtId="0" fontId="1" fillId="0" borderId="8" xfId="0" applyFont="1" applyBorder="1"/>
    <xf numFmtId="0" fontId="1" fillId="0" borderId="7" xfId="0" applyFont="1" applyBorder="1"/>
    <xf numFmtId="1" fontId="12" fillId="0" borderId="1" xfId="0" applyNumberFormat="1" applyFont="1" applyBorder="1" applyProtection="1">
      <protection locked="0"/>
    </xf>
    <xf numFmtId="9" fontId="2" fillId="0" borderId="15" xfId="0" applyNumberFormat="1" applyFont="1" applyBorder="1" applyProtection="1">
      <protection locked="0"/>
    </xf>
    <xf numFmtId="9" fontId="2" fillId="0" borderId="1" xfId="0" applyNumberFormat="1" applyFont="1" applyBorder="1" applyProtection="1">
      <protection locked="0"/>
    </xf>
    <xf numFmtId="0" fontId="15" fillId="0" borderId="0" xfId="0" applyFont="1"/>
    <xf numFmtId="165" fontId="2" fillId="0" borderId="15" xfId="0" applyNumberFormat="1" applyFont="1" applyBorder="1" applyProtection="1"/>
    <xf numFmtId="166" fontId="2" fillId="0" borderId="15" xfId="0" applyNumberFormat="1" applyFont="1" applyFill="1" applyBorder="1" applyProtection="1"/>
    <xf numFmtId="2" fontId="2" fillId="0" borderId="15" xfId="0" applyNumberFormat="1" applyFont="1" applyBorder="1" applyProtection="1"/>
    <xf numFmtId="166" fontId="2" fillId="0" borderId="15" xfId="0" applyNumberFormat="1" applyFont="1" applyBorder="1" applyProtection="1"/>
    <xf numFmtId="9" fontId="2" fillId="0" borderId="15" xfId="0" applyNumberFormat="1" applyFont="1" applyFill="1" applyBorder="1" applyProtection="1"/>
    <xf numFmtId="164" fontId="1" fillId="0" borderId="16" xfId="0" applyNumberFormat="1" applyFont="1" applyBorder="1"/>
    <xf numFmtId="0" fontId="22" fillId="0" borderId="0" xfId="0" applyFont="1" applyAlignment="1" applyProtection="1">
      <alignment horizontal="left"/>
    </xf>
    <xf numFmtId="0" fontId="2" fillId="0" borderId="15" xfId="0" applyNumberFormat="1" applyFont="1" applyBorder="1" applyProtection="1"/>
    <xf numFmtId="169" fontId="2" fillId="0" borderId="17" xfId="0" applyNumberFormat="1" applyFont="1" applyBorder="1" applyProtection="1"/>
    <xf numFmtId="169" fontId="2" fillId="0" borderId="6" xfId="0" applyNumberFormat="1" applyFont="1" applyBorder="1" applyProtection="1"/>
    <xf numFmtId="2" fontId="2" fillId="0" borderId="12" xfId="0" applyNumberFormat="1" applyFont="1" applyBorder="1" applyProtection="1"/>
    <xf numFmtId="2" fontId="2" fillId="0" borderId="11" xfId="0" applyNumberFormat="1" applyFont="1" applyBorder="1" applyProtection="1"/>
    <xf numFmtId="0" fontId="1" fillId="0" borderId="0" xfId="0" applyFont="1" applyFill="1" applyBorder="1" applyAlignment="1" applyProtection="1">
      <alignment horizontal="left"/>
    </xf>
    <xf numFmtId="169" fontId="0" fillId="0" borderId="2" xfId="0" applyNumberFormat="1" applyBorder="1"/>
    <xf numFmtId="0" fontId="2" fillId="0" borderId="0" xfId="0" applyFont="1" applyFill="1" applyBorder="1" applyAlignment="1" applyProtection="1">
      <alignment horizontal="left"/>
    </xf>
    <xf numFmtId="2" fontId="2" fillId="0" borderId="0" xfId="0" applyNumberFormat="1" applyFont="1" applyBorder="1" applyProtection="1"/>
    <xf numFmtId="2" fontId="0" fillId="0" borderId="0" xfId="0" applyNumberFormat="1" applyBorder="1"/>
    <xf numFmtId="0" fontId="0" fillId="0" borderId="0" xfId="0" applyFill="1" applyBorder="1"/>
    <xf numFmtId="0" fontId="32" fillId="0" borderId="0" xfId="0" applyFont="1"/>
    <xf numFmtId="2" fontId="2" fillId="0" borderId="0" xfId="0" applyNumberFormat="1" applyFont="1" applyProtection="1">
      <protection locked="0"/>
    </xf>
    <xf numFmtId="1" fontId="12" fillId="0" borderId="0" xfId="0" applyNumberFormat="1" applyFont="1" applyBorder="1" applyProtection="1"/>
    <xf numFmtId="166" fontId="2" fillId="0" borderId="0" xfId="0" applyNumberFormat="1" applyFont="1" applyFill="1" applyBorder="1" applyProtection="1"/>
    <xf numFmtId="166" fontId="2" fillId="0" borderId="0" xfId="0" applyNumberFormat="1" applyFont="1" applyBorder="1" applyProtection="1"/>
    <xf numFmtId="0" fontId="2" fillId="0" borderId="0" xfId="0" applyNumberFormat="1" applyFont="1" applyBorder="1" applyProtection="1"/>
    <xf numFmtId="0" fontId="6" fillId="0" borderId="0" xfId="0" applyNumberFormat="1" applyFont="1" applyBorder="1" applyProtection="1"/>
    <xf numFmtId="0" fontId="20" fillId="0" borderId="0" xfId="0" applyFont="1" applyFill="1" applyBorder="1"/>
    <xf numFmtId="171" fontId="2" fillId="0" borderId="0" xfId="0" applyNumberFormat="1" applyFont="1" applyFill="1" applyBorder="1"/>
    <xf numFmtId="0" fontId="2" fillId="0" borderId="0" xfId="0" applyFont="1" applyFill="1"/>
    <xf numFmtId="0" fontId="0" fillId="0" borderId="0" xfId="0" applyFill="1"/>
    <xf numFmtId="2" fontId="31" fillId="0" borderId="0" xfId="0" applyNumberFormat="1" applyFont="1" applyFill="1" applyBorder="1"/>
    <xf numFmtId="164" fontId="1" fillId="0" borderId="18" xfId="0" applyNumberFormat="1" applyFont="1" applyBorder="1"/>
    <xf numFmtId="164" fontId="14" fillId="0" borderId="19" xfId="0" applyNumberFormat="1" applyFont="1" applyBorder="1"/>
    <xf numFmtId="0" fontId="14" fillId="0" borderId="19" xfId="0" applyFont="1" applyBorder="1"/>
    <xf numFmtId="0" fontId="1" fillId="0" borderId="20" xfId="0" applyFont="1" applyBorder="1"/>
    <xf numFmtId="0" fontId="1" fillId="0" borderId="19" xfId="0" applyFont="1" applyBorder="1"/>
    <xf numFmtId="164" fontId="1" fillId="0" borderId="21" xfId="0" applyNumberFormat="1" applyFont="1" applyBorder="1"/>
    <xf numFmtId="164" fontId="1" fillId="0" borderId="19" xfId="0" applyNumberFormat="1" applyFont="1" applyBorder="1"/>
    <xf numFmtId="164" fontId="3" fillId="0" borderId="22" xfId="0" applyNumberFormat="1" applyFont="1" applyFill="1" applyBorder="1"/>
    <xf numFmtId="164" fontId="14" fillId="0" borderId="23" xfId="0" applyNumberFormat="1" applyFont="1" applyBorder="1"/>
    <xf numFmtId="0" fontId="14" fillId="0" borderId="23" xfId="0" applyFont="1" applyBorder="1"/>
    <xf numFmtId="0" fontId="1" fillId="0" borderId="22" xfId="0" applyFont="1" applyBorder="1"/>
    <xf numFmtId="0" fontId="1" fillId="0" borderId="23" xfId="0" applyFont="1" applyBorder="1"/>
    <xf numFmtId="164" fontId="1" fillId="0" borderId="24" xfId="0" applyNumberFormat="1" applyFont="1" applyBorder="1"/>
    <xf numFmtId="164" fontId="1" fillId="0" borderId="23" xfId="0" applyNumberFormat="1" applyFont="1" applyBorder="1"/>
    <xf numFmtId="164" fontId="1" fillId="0" borderId="22" xfId="0" applyNumberFormat="1" applyFont="1" applyBorder="1"/>
    <xf numFmtId="164" fontId="3" fillId="0" borderId="18" xfId="0" applyNumberFormat="1" applyFont="1" applyBorder="1"/>
    <xf numFmtId="0" fontId="22" fillId="0" borderId="3" xfId="0" applyFont="1" applyBorder="1"/>
    <xf numFmtId="164" fontId="1" fillId="0" borderId="4" xfId="0" applyNumberFormat="1" applyFont="1" applyBorder="1"/>
    <xf numFmtId="0" fontId="2" fillId="0" borderId="0" xfId="0" applyNumberFormat="1" applyFont="1"/>
    <xf numFmtId="164" fontId="2" fillId="0" borderId="0" xfId="0" applyNumberFormat="1" applyFont="1" applyBorder="1"/>
    <xf numFmtId="2" fontId="12" fillId="0" borderId="0" xfId="0" applyNumberFormat="1" applyFont="1" applyBorder="1"/>
    <xf numFmtId="0" fontId="12" fillId="0" borderId="0" xfId="0" applyFont="1" applyBorder="1"/>
    <xf numFmtId="0" fontId="2" fillId="0" borderId="0" xfId="0" applyNumberFormat="1" applyFont="1" applyBorder="1"/>
    <xf numFmtId="164" fontId="3" fillId="0" borderId="0" xfId="0" applyNumberFormat="1" applyFont="1" applyBorder="1"/>
    <xf numFmtId="2" fontId="2" fillId="0" borderId="0" xfId="0" applyNumberFormat="1" applyFont="1"/>
    <xf numFmtId="2" fontId="1" fillId="0" borderId="0" xfId="0" applyNumberFormat="1" applyFont="1"/>
    <xf numFmtId="1" fontId="18" fillId="2" borderId="0" xfId="0" applyNumberFormat="1" applyFont="1" applyFill="1" applyBorder="1" applyProtection="1">
      <protection locked="0"/>
    </xf>
    <xf numFmtId="0" fontId="3" fillId="2" borderId="0" xfId="0" applyFont="1" applyFill="1" applyBorder="1" applyProtection="1">
      <protection locked="0"/>
    </xf>
    <xf numFmtId="0" fontId="1" fillId="2" borderId="0" xfId="0" applyFont="1" applyFill="1" applyBorder="1"/>
    <xf numFmtId="2" fontId="11" fillId="2" borderId="0" xfId="0" applyNumberFormat="1" applyFont="1" applyFill="1" applyBorder="1"/>
    <xf numFmtId="2" fontId="18" fillId="2" borderId="0" xfId="0" applyNumberFormat="1" applyFont="1" applyFill="1" applyBorder="1"/>
    <xf numFmtId="0" fontId="20" fillId="2" borderId="0" xfId="0" applyFont="1" applyFill="1" applyBorder="1"/>
    <xf numFmtId="0" fontId="1" fillId="2" borderId="0" xfId="0" applyFont="1" applyFill="1" applyBorder="1" applyProtection="1"/>
    <xf numFmtId="164" fontId="11" fillId="2" borderId="0" xfId="0" applyNumberFormat="1" applyFont="1" applyFill="1" applyBorder="1"/>
    <xf numFmtId="0" fontId="2" fillId="2" borderId="0" xfId="0" applyFont="1" applyFill="1" applyBorder="1"/>
    <xf numFmtId="0" fontId="12" fillId="2" borderId="0" xfId="0" applyFont="1" applyFill="1" applyAlignment="1" applyProtection="1">
      <alignment horizontal="left"/>
    </xf>
    <xf numFmtId="1" fontId="18" fillId="2" borderId="2" xfId="0" applyNumberFormat="1" applyFont="1" applyFill="1" applyBorder="1"/>
    <xf numFmtId="0" fontId="11" fillId="0" borderId="0" xfId="0" applyFont="1"/>
    <xf numFmtId="0" fontId="16" fillId="0" borderId="1" xfId="0" applyFont="1" applyBorder="1" applyAlignment="1" applyProtection="1">
      <alignment horizontal="center"/>
      <protection locked="0"/>
    </xf>
    <xf numFmtId="0" fontId="14" fillId="0" borderId="25" xfId="0" applyFont="1" applyBorder="1" applyAlignment="1" applyProtection="1">
      <alignment horizontal="left"/>
      <protection locked="0"/>
    </xf>
    <xf numFmtId="0" fontId="14" fillId="0" borderId="26" xfId="0" applyFont="1" applyBorder="1" applyProtection="1">
      <protection locked="0"/>
    </xf>
    <xf numFmtId="0" fontId="14" fillId="0" borderId="27" xfId="0" applyFont="1" applyBorder="1" applyProtection="1">
      <protection locked="0"/>
    </xf>
    <xf numFmtId="0" fontId="25" fillId="0" borderId="0" xfId="0" applyFont="1" applyBorder="1" applyAlignment="1" applyProtection="1">
      <protection locked="0"/>
    </xf>
    <xf numFmtId="0" fontId="0" fillId="0" borderId="6" xfId="0" applyBorder="1"/>
    <xf numFmtId="0" fontId="25" fillId="0" borderId="28" xfId="0" applyFont="1" applyBorder="1" applyAlignment="1" applyProtection="1">
      <protection locked="0"/>
    </xf>
    <xf numFmtId="0" fontId="25" fillId="0" borderId="29" xfId="0" applyFont="1" applyBorder="1" applyAlignment="1" applyProtection="1">
      <protection locked="0"/>
    </xf>
    <xf numFmtId="0" fontId="16" fillId="0" borderId="6" xfId="0" applyFont="1" applyBorder="1" applyAlignment="1" applyProtection="1">
      <alignment horizontal="center"/>
      <protection locked="0"/>
    </xf>
    <xf numFmtId="0" fontId="14" fillId="0" borderId="22" xfId="0" applyFont="1" applyBorder="1" applyAlignment="1" applyProtection="1">
      <alignment horizontal="left"/>
      <protection locked="0"/>
    </xf>
    <xf numFmtId="0" fontId="14" fillId="0" borderId="23" xfId="0" applyFont="1" applyBorder="1" applyProtection="1">
      <protection locked="0"/>
    </xf>
    <xf numFmtId="0" fontId="14" fillId="0" borderId="25" xfId="0" applyFont="1" applyBorder="1" applyProtection="1">
      <protection locked="0"/>
    </xf>
    <xf numFmtId="0" fontId="1" fillId="0" borderId="30" xfId="0" applyFont="1" applyBorder="1"/>
    <xf numFmtId="0" fontId="1" fillId="0" borderId="31" xfId="0" applyFont="1" applyBorder="1"/>
    <xf numFmtId="164" fontId="1" fillId="0" borderId="30" xfId="0" applyNumberFormat="1" applyFont="1" applyBorder="1"/>
    <xf numFmtId="164" fontId="1" fillId="0" borderId="31" xfId="0" applyNumberFormat="1" applyFont="1" applyBorder="1"/>
    <xf numFmtId="164" fontId="1" fillId="0" borderId="32" xfId="0" applyNumberFormat="1" applyFont="1" applyBorder="1"/>
    <xf numFmtId="0" fontId="25" fillId="0" borderId="30" xfId="0" applyFont="1" applyBorder="1" applyAlignment="1" applyProtection="1">
      <alignment horizontal="left"/>
      <protection locked="0"/>
    </xf>
    <xf numFmtId="0" fontId="25" fillId="0" borderId="30" xfId="0" applyFont="1" applyBorder="1" applyProtection="1">
      <protection locked="0"/>
    </xf>
    <xf numFmtId="0" fontId="25" fillId="0" borderId="31" xfId="0" applyFont="1" applyBorder="1" applyAlignment="1" applyProtection="1">
      <alignment horizontal="center"/>
      <protection locked="0"/>
    </xf>
    <xf numFmtId="0" fontId="25" fillId="0" borderId="30" xfId="0" applyFont="1" applyBorder="1" applyAlignment="1" applyProtection="1">
      <alignment horizontal="center"/>
      <protection locked="0"/>
    </xf>
    <xf numFmtId="0" fontId="25" fillId="0" borderId="32" xfId="0" applyFont="1" applyBorder="1" applyAlignment="1" applyProtection="1">
      <alignment horizontal="center"/>
      <protection locked="0"/>
    </xf>
    <xf numFmtId="0" fontId="0" fillId="0" borderId="1" xfId="0" applyBorder="1"/>
    <xf numFmtId="0" fontId="25" fillId="0" borderId="31" xfId="0" applyFont="1" applyBorder="1" applyAlignment="1" applyProtection="1">
      <alignment horizontal="left"/>
      <protection locked="0"/>
    </xf>
    <xf numFmtId="0" fontId="1" fillId="0" borderId="18" xfId="0" applyFont="1" applyBorder="1"/>
    <xf numFmtId="0" fontId="1" fillId="0" borderId="10" xfId="0" applyFont="1" applyBorder="1"/>
    <xf numFmtId="2" fontId="1" fillId="0" borderId="1" xfId="0" applyNumberFormat="1" applyFont="1" applyBorder="1"/>
    <xf numFmtId="2" fontId="1" fillId="0" borderId="6" xfId="0" applyNumberFormat="1" applyFont="1" applyBorder="1"/>
    <xf numFmtId="164" fontId="18" fillId="2" borderId="0" xfId="0" applyNumberFormat="1" applyFont="1" applyFill="1" applyBorder="1" applyProtection="1">
      <protection locked="0"/>
    </xf>
    <xf numFmtId="169" fontId="18" fillId="2" borderId="0" xfId="0" applyNumberFormat="1" applyFont="1" applyFill="1" applyBorder="1" applyProtection="1">
      <protection locked="0"/>
    </xf>
    <xf numFmtId="0" fontId="11" fillId="2" borderId="0" xfId="0" applyFont="1" applyFill="1" applyBorder="1" applyAlignment="1">
      <alignment horizontal="center"/>
    </xf>
    <xf numFmtId="0" fontId="2" fillId="0" borderId="0" xfId="0" applyFont="1" applyFill="1" applyBorder="1" applyAlignment="1" applyProtection="1">
      <alignment horizontal="left"/>
      <protection locked="0"/>
    </xf>
    <xf numFmtId="1" fontId="2" fillId="0" borderId="0" xfId="0" applyNumberFormat="1" applyFont="1" applyFill="1" applyBorder="1" applyProtection="1">
      <protection locked="0"/>
    </xf>
    <xf numFmtId="167" fontId="3" fillId="0" borderId="0" xfId="0" applyNumberFormat="1" applyFont="1" applyFill="1" applyBorder="1" applyProtection="1">
      <protection locked="0"/>
    </xf>
    <xf numFmtId="1" fontId="18" fillId="0" borderId="0" xfId="0" applyNumberFormat="1" applyFont="1" applyFill="1" applyBorder="1" applyProtection="1">
      <protection locked="0"/>
    </xf>
    <xf numFmtId="9" fontId="18" fillId="2" borderId="2" xfId="0" applyNumberFormat="1" applyFont="1" applyFill="1" applyBorder="1"/>
    <xf numFmtId="169" fontId="18" fillId="2" borderId="0" xfId="0" applyNumberFormat="1" applyFont="1" applyFill="1" applyBorder="1" applyProtection="1"/>
    <xf numFmtId="0" fontId="25" fillId="0" borderId="9" xfId="0" applyFont="1" applyBorder="1"/>
    <xf numFmtId="0" fontId="25" fillId="0" borderId="16" xfId="0" applyFont="1" applyBorder="1"/>
    <xf numFmtId="0" fontId="25" fillId="0" borderId="24" xfId="0" applyFont="1" applyBorder="1"/>
    <xf numFmtId="0" fontId="18" fillId="0" borderId="0" xfId="0" applyFont="1"/>
    <xf numFmtId="0" fontId="14" fillId="0" borderId="0" xfId="0" applyFont="1"/>
    <xf numFmtId="0" fontId="14" fillId="0" borderId="0" xfId="0" applyFont="1" applyBorder="1" applyAlignment="1" applyProtection="1">
      <protection locked="0"/>
    </xf>
    <xf numFmtId="1" fontId="18" fillId="0" borderId="2" xfId="0" applyNumberFormat="1" applyFont="1" applyFill="1" applyBorder="1" applyProtection="1"/>
    <xf numFmtId="169" fontId="3" fillId="0" borderId="1" xfId="0" applyNumberFormat="1" applyFont="1" applyBorder="1" applyProtection="1"/>
    <xf numFmtId="0" fontId="18" fillId="2" borderId="0" xfId="0" applyFont="1" applyFill="1" applyBorder="1" applyAlignment="1">
      <alignment horizontal="center"/>
    </xf>
    <xf numFmtId="172" fontId="0" fillId="0" borderId="2" xfId="0" applyNumberFormat="1" applyBorder="1"/>
    <xf numFmtId="0" fontId="5" fillId="0" borderId="0" xfId="0" applyFont="1" applyFill="1" applyAlignment="1">
      <alignment horizontal="right"/>
    </xf>
    <xf numFmtId="0" fontId="2" fillId="0" borderId="0" xfId="0" applyFont="1" applyFill="1" applyAlignment="1" applyProtection="1">
      <alignment horizontal="left"/>
    </xf>
    <xf numFmtId="0" fontId="1" fillId="2" borderId="0" xfId="0" applyFont="1" applyFill="1" applyAlignment="1">
      <alignment horizontal="center"/>
    </xf>
    <xf numFmtId="2" fontId="2" fillId="0" borderId="0" xfId="0" applyNumberFormat="1" applyFont="1" applyBorder="1" applyProtection="1">
      <protection locked="0"/>
    </xf>
    <xf numFmtId="164" fontId="29" fillId="0" borderId="7" xfId="0" applyNumberFormat="1" applyFont="1" applyBorder="1"/>
    <xf numFmtId="164" fontId="29" fillId="0" borderId="19" xfId="0" applyNumberFormat="1" applyFont="1" applyBorder="1"/>
    <xf numFmtId="164" fontId="14" fillId="0" borderId="22" xfId="0" applyNumberFormat="1" applyFont="1" applyBorder="1"/>
    <xf numFmtId="164" fontId="14" fillId="0" borderId="24" xfId="0" applyNumberFormat="1" applyFont="1" applyBorder="1"/>
    <xf numFmtId="164" fontId="14" fillId="0" borderId="8" xfId="0" applyNumberFormat="1" applyFont="1" applyBorder="1"/>
    <xf numFmtId="164" fontId="14" fillId="0" borderId="18" xfId="0" applyNumberFormat="1" applyFont="1" applyBorder="1"/>
    <xf numFmtId="0" fontId="14" fillId="0" borderId="10" xfId="0" applyFont="1" applyBorder="1"/>
    <xf numFmtId="171" fontId="16" fillId="2" borderId="2" xfId="0" applyNumberFormat="1" applyFont="1" applyFill="1" applyBorder="1" applyProtection="1">
      <protection locked="0"/>
    </xf>
    <xf numFmtId="2" fontId="1" fillId="0" borderId="30" xfId="0" applyNumberFormat="1" applyFont="1" applyBorder="1"/>
    <xf numFmtId="2" fontId="1" fillId="0" borderId="7" xfId="0" applyNumberFormat="1" applyFont="1" applyBorder="1"/>
    <xf numFmtId="2" fontId="1" fillId="0" borderId="19" xfId="0" applyNumberFormat="1" applyFont="1" applyBorder="1"/>
    <xf numFmtId="2" fontId="1" fillId="0" borderId="23" xfId="0" applyNumberFormat="1" applyFont="1" applyBorder="1"/>
    <xf numFmtId="2" fontId="1" fillId="0" borderId="10" xfId="0" applyNumberFormat="1" applyFont="1" applyBorder="1"/>
    <xf numFmtId="0" fontId="5" fillId="2" borderId="0" xfId="0" applyFont="1" applyFill="1" applyAlignment="1">
      <alignment horizontal="center"/>
    </xf>
    <xf numFmtId="0" fontId="0" fillId="2" borderId="2" xfId="0" applyFill="1" applyBorder="1" applyAlignment="1">
      <alignment horizontal="center"/>
    </xf>
    <xf numFmtId="171" fontId="16" fillId="0" borderId="15" xfId="0" applyNumberFormat="1" applyFont="1" applyBorder="1" applyProtection="1"/>
    <xf numFmtId="0" fontId="14" fillId="0" borderId="0" xfId="0" applyFont="1" applyAlignment="1" applyProtection="1">
      <alignment horizontal="left"/>
    </xf>
    <xf numFmtId="171" fontId="40" fillId="2" borderId="2" xfId="0" applyNumberFormat="1" applyFont="1" applyFill="1" applyBorder="1"/>
    <xf numFmtId="0" fontId="2" fillId="0" borderId="0" xfId="0" applyFont="1" applyAlignment="1" applyProtection="1">
      <alignment horizontal="center"/>
    </xf>
    <xf numFmtId="169" fontId="11" fillId="0" borderId="2" xfId="0" applyNumberFormat="1" applyFont="1" applyBorder="1" applyProtection="1"/>
    <xf numFmtId="2" fontId="11" fillId="0" borderId="2" xfId="0" applyNumberFormat="1" applyFont="1" applyBorder="1"/>
    <xf numFmtId="165" fontId="1" fillId="0" borderId="0" xfId="0" applyNumberFormat="1" applyFont="1" applyBorder="1" applyProtection="1"/>
    <xf numFmtId="0" fontId="41" fillId="0" borderId="0" xfId="0" applyFont="1" applyAlignment="1" applyProtection="1">
      <alignment horizontal="center"/>
    </xf>
    <xf numFmtId="9" fontId="0" fillId="0" borderId="0" xfId="0" applyNumberFormat="1"/>
    <xf numFmtId="1" fontId="43" fillId="0" borderId="0" xfId="0" applyNumberFormat="1" applyFont="1"/>
    <xf numFmtId="0" fontId="18" fillId="0" borderId="0" xfId="0" applyFont="1" applyAlignment="1" applyProtection="1">
      <alignment horizontal="left"/>
    </xf>
    <xf numFmtId="0" fontId="18" fillId="0" borderId="0" xfId="0" applyFont="1" applyAlignment="1">
      <alignment horizontal="right"/>
    </xf>
    <xf numFmtId="1" fontId="14" fillId="0" borderId="0" xfId="0" applyNumberFormat="1" applyFont="1"/>
    <xf numFmtId="169" fontId="14" fillId="0" borderId="0" xfId="0" applyNumberFormat="1" applyFont="1"/>
    <xf numFmtId="0" fontId="18" fillId="0" borderId="0" xfId="0" applyFont="1" applyAlignment="1" applyProtection="1">
      <alignment horizontal="center"/>
    </xf>
    <xf numFmtId="9" fontId="44" fillId="0" borderId="0" xfId="0" applyNumberFormat="1" applyFont="1"/>
    <xf numFmtId="169" fontId="44" fillId="0" borderId="0" xfId="0" applyNumberFormat="1" applyFont="1" applyProtection="1"/>
    <xf numFmtId="9" fontId="1" fillId="0" borderId="0" xfId="0" applyNumberFormat="1" applyFont="1"/>
    <xf numFmtId="169" fontId="1" fillId="0" borderId="0" xfId="0" applyNumberFormat="1" applyFont="1" applyProtection="1"/>
    <xf numFmtId="164" fontId="22" fillId="0" borderId="0" xfId="0" applyNumberFormat="1" applyFont="1" applyBorder="1"/>
    <xf numFmtId="164" fontId="2" fillId="0" borderId="12" xfId="0" applyNumberFormat="1" applyFont="1" applyBorder="1"/>
    <xf numFmtId="0" fontId="45" fillId="0" borderId="0" xfId="0" applyFont="1"/>
    <xf numFmtId="1" fontId="18" fillId="0" borderId="2" xfId="0" applyNumberFormat="1" applyFont="1" applyFill="1" applyBorder="1"/>
    <xf numFmtId="2" fontId="3" fillId="0" borderId="1" xfId="0" applyNumberFormat="1" applyFont="1" applyBorder="1" applyProtection="1">
      <protection locked="0"/>
    </xf>
    <xf numFmtId="169" fontId="3" fillId="0" borderId="33" xfId="0" applyNumberFormat="1" applyFont="1" applyBorder="1" applyProtection="1"/>
    <xf numFmtId="2" fontId="3" fillId="0" borderId="15" xfId="0" applyNumberFormat="1" applyFont="1" applyBorder="1" applyProtection="1">
      <protection locked="0"/>
    </xf>
    <xf numFmtId="164" fontId="11" fillId="0" borderId="2" xfId="0" applyNumberFormat="1" applyFont="1" applyBorder="1" applyProtection="1">
      <protection locked="0"/>
    </xf>
    <xf numFmtId="169" fontId="14" fillId="0" borderId="0" xfId="0" applyNumberFormat="1" applyFont="1" applyBorder="1"/>
    <xf numFmtId="0" fontId="14" fillId="0" borderId="0" xfId="0" applyFont="1" applyBorder="1"/>
    <xf numFmtId="0" fontId="17" fillId="2" borderId="0" xfId="0" applyFont="1" applyFill="1" applyAlignment="1" applyProtection="1">
      <alignment horizontal="left"/>
      <protection locked="0"/>
    </xf>
    <xf numFmtId="2" fontId="1" fillId="0" borderId="8" xfId="0" applyNumberFormat="1" applyFont="1" applyBorder="1"/>
    <xf numFmtId="2" fontId="1" fillId="0" borderId="18" xfId="0" applyNumberFormat="1" applyFont="1" applyBorder="1"/>
    <xf numFmtId="2" fontId="1" fillId="0" borderId="20" xfId="0" applyNumberFormat="1" applyFont="1" applyBorder="1"/>
    <xf numFmtId="0" fontId="49" fillId="0" borderId="0" xfId="0" applyFont="1"/>
    <xf numFmtId="164" fontId="1" fillId="0" borderId="10" xfId="0" applyNumberFormat="1" applyFont="1" applyBorder="1"/>
    <xf numFmtId="164" fontId="0" fillId="0" borderId="0" xfId="0" applyNumberFormat="1"/>
    <xf numFmtId="0" fontId="0" fillId="0" borderId="0" xfId="0" applyAlignment="1">
      <alignment horizontal="center"/>
    </xf>
    <xf numFmtId="0" fontId="10" fillId="0" borderId="0" xfId="0" applyFont="1"/>
    <xf numFmtId="0" fontId="0" fillId="0" borderId="2" xfId="0" applyBorder="1"/>
    <xf numFmtId="1" fontId="0" fillId="0" borderId="0" xfId="0" applyNumberFormat="1"/>
    <xf numFmtId="0" fontId="0" fillId="0" borderId="0" xfId="0" applyAlignment="1">
      <alignment horizontal="left"/>
    </xf>
    <xf numFmtId="170" fontId="40" fillId="2" borderId="2" xfId="0" applyNumberFormat="1" applyFont="1" applyFill="1" applyBorder="1"/>
    <xf numFmtId="0" fontId="50" fillId="0" borderId="0" xfId="0" applyFont="1"/>
    <xf numFmtId="0" fontId="5" fillId="3" borderId="2" xfId="0" applyFont="1" applyFill="1" applyBorder="1" applyAlignment="1">
      <alignment horizontal="center" vertical="center"/>
    </xf>
    <xf numFmtId="2" fontId="5" fillId="3" borderId="2" xfId="0" applyNumberFormat="1" applyFont="1" applyFill="1" applyBorder="1" applyAlignment="1">
      <alignment horizontal="center" vertical="center" wrapText="1"/>
    </xf>
    <xf numFmtId="0" fontId="0" fillId="4" borderId="2" xfId="0" applyFill="1" applyBorder="1"/>
    <xf numFmtId="0" fontId="0" fillId="4" borderId="2" xfId="0" applyFill="1" applyBorder="1" applyAlignment="1">
      <alignment horizontal="center"/>
    </xf>
    <xf numFmtId="2" fontId="0" fillId="4" borderId="2" xfId="0" applyNumberFormat="1" applyFill="1" applyBorder="1" applyAlignment="1">
      <alignment horizontal="center"/>
    </xf>
    <xf numFmtId="9" fontId="0" fillId="4" borderId="2" xfId="0" applyNumberFormat="1" applyFill="1" applyBorder="1" applyAlignment="1">
      <alignment horizontal="center"/>
    </xf>
    <xf numFmtId="0" fontId="51" fillId="0" borderId="2" xfId="0" applyFont="1" applyBorder="1" applyAlignment="1">
      <alignment horizontal="right"/>
    </xf>
    <xf numFmtId="164" fontId="51" fillId="0" borderId="34" xfId="0" applyNumberFormat="1" applyFont="1" applyBorder="1"/>
    <xf numFmtId="164" fontId="51" fillId="0" borderId="2" xfId="0" applyNumberFormat="1" applyFont="1" applyBorder="1" applyAlignment="1">
      <alignment horizontal="right"/>
    </xf>
    <xf numFmtId="9" fontId="51" fillId="0" borderId="2" xfId="0" applyNumberFormat="1" applyFont="1" applyBorder="1"/>
    <xf numFmtId="0" fontId="51" fillId="0" borderId="35" xfId="0" applyFont="1" applyBorder="1" applyAlignment="1">
      <alignment horizontal="right"/>
    </xf>
    <xf numFmtId="0" fontId="52" fillId="0" borderId="2" xfId="0" applyFont="1" applyBorder="1" applyAlignment="1">
      <alignment horizontal="right"/>
    </xf>
    <xf numFmtId="0" fontId="6" fillId="0" borderId="2" xfId="0" applyFont="1" applyFill="1" applyBorder="1" applyAlignment="1">
      <alignment horizontal="center"/>
    </xf>
    <xf numFmtId="2" fontId="0" fillId="0" borderId="0" xfId="0" applyNumberFormat="1"/>
    <xf numFmtId="164" fontId="51" fillId="0" borderId="36" xfId="0" applyNumberFormat="1" applyFont="1" applyBorder="1"/>
    <xf numFmtId="164" fontId="51" fillId="0" borderId="34" xfId="0" applyNumberFormat="1" applyFont="1" applyFill="1" applyBorder="1" applyAlignment="1"/>
    <xf numFmtId="164" fontId="51" fillId="0" borderId="34" xfId="0" applyNumberFormat="1" applyFont="1" applyBorder="1" applyAlignment="1"/>
    <xf numFmtId="0" fontId="6" fillId="0" borderId="2" xfId="0" applyFont="1" applyBorder="1" applyAlignment="1">
      <alignment horizontal="center"/>
    </xf>
    <xf numFmtId="164" fontId="51" fillId="0" borderId="34" xfId="0" applyNumberFormat="1" applyFont="1" applyBorder="1" applyAlignment="1">
      <alignment horizontal="right"/>
    </xf>
    <xf numFmtId="0" fontId="51" fillId="0" borderId="2" xfId="0" applyFont="1" applyFill="1" applyBorder="1" applyAlignment="1">
      <alignment horizontal="right"/>
    </xf>
    <xf numFmtId="0" fontId="2" fillId="4" borderId="2" xfId="0" applyFont="1" applyFill="1" applyBorder="1" applyAlignment="1">
      <alignment horizontal="left"/>
    </xf>
    <xf numFmtId="0" fontId="2" fillId="4" borderId="2" xfId="0" applyFont="1" applyFill="1" applyBorder="1" applyAlignment="1">
      <alignment horizontal="center"/>
    </xf>
    <xf numFmtId="2" fontId="2" fillId="4" borderId="2" xfId="0" applyNumberFormat="1" applyFont="1" applyFill="1" applyBorder="1" applyAlignment="1">
      <alignment horizontal="center"/>
    </xf>
    <xf numFmtId="0" fontId="6" fillId="0" borderId="2" xfId="0" applyFont="1" applyBorder="1"/>
    <xf numFmtId="164" fontId="51" fillId="0" borderId="2" xfId="0" applyNumberFormat="1" applyFont="1" applyFill="1" applyBorder="1" applyAlignment="1">
      <alignment horizontal="right"/>
    </xf>
    <xf numFmtId="164" fontId="51" fillId="0" borderId="2" xfId="0" applyNumberFormat="1" applyFont="1" applyBorder="1"/>
    <xf numFmtId="0" fontId="52" fillId="0" borderId="2" xfId="0" applyFont="1" applyFill="1" applyBorder="1" applyAlignment="1">
      <alignment horizontal="right"/>
    </xf>
    <xf numFmtId="164" fontId="52" fillId="0" borderId="2" xfId="0" applyNumberFormat="1" applyFont="1" applyBorder="1"/>
    <xf numFmtId="0" fontId="5" fillId="0" borderId="37" xfId="0" applyFont="1" applyBorder="1" applyAlignment="1">
      <alignment horizontal="left"/>
    </xf>
    <xf numFmtId="2" fontId="5" fillId="0" borderId="37" xfId="0" applyNumberFormat="1" applyFont="1" applyBorder="1" applyAlignment="1">
      <alignment horizontal="center"/>
    </xf>
    <xf numFmtId="9" fontId="2" fillId="0" borderId="37" xfId="0" applyNumberFormat="1" applyFont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4" fillId="0" borderId="2" xfId="0" applyFont="1" applyBorder="1" applyAlignment="1">
      <alignment horizontal="right"/>
    </xf>
    <xf numFmtId="9" fontId="51" fillId="0" borderId="2" xfId="0" applyNumberFormat="1" applyFont="1" applyBorder="1" applyAlignment="1">
      <alignment horizontal="right"/>
    </xf>
    <xf numFmtId="2" fontId="55" fillId="0" borderId="0" xfId="0" applyNumberFormat="1" applyFont="1"/>
    <xf numFmtId="0" fontId="0" fillId="3" borderId="34" xfId="0" applyFill="1" applyBorder="1"/>
    <xf numFmtId="0" fontId="0" fillId="3" borderId="7" xfId="0" applyFill="1" applyBorder="1"/>
    <xf numFmtId="0" fontId="0" fillId="3" borderId="38" xfId="0" applyFill="1" applyBorder="1"/>
    <xf numFmtId="0" fontId="55" fillId="0" borderId="0" xfId="0" applyFont="1"/>
    <xf numFmtId="0" fontId="20" fillId="0" borderId="2" xfId="0" applyFont="1" applyBorder="1" applyAlignment="1">
      <alignment horizontal="left"/>
    </xf>
    <xf numFmtId="2" fontId="20" fillId="0" borderId="2" xfId="0" applyNumberFormat="1" applyFont="1" applyFill="1" applyBorder="1" applyAlignment="1">
      <alignment horizontal="right"/>
    </xf>
    <xf numFmtId="0" fontId="2" fillId="0" borderId="2" xfId="0" applyFont="1" applyBorder="1" applyAlignment="1">
      <alignment horizontal="center"/>
    </xf>
    <xf numFmtId="169" fontId="0" fillId="0" borderId="0" xfId="0" applyNumberFormat="1"/>
    <xf numFmtId="0" fontId="20" fillId="5" borderId="2" xfId="0" applyFont="1" applyFill="1" applyBorder="1" applyAlignment="1">
      <alignment horizontal="left"/>
    </xf>
    <xf numFmtId="0" fontId="20" fillId="0" borderId="2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left"/>
    </xf>
    <xf numFmtId="2" fontId="20" fillId="0" borderId="0" xfId="0" applyNumberFormat="1" applyFont="1" applyFill="1" applyBorder="1" applyAlignment="1">
      <alignment horizontal="center"/>
    </xf>
    <xf numFmtId="0" fontId="56" fillId="0" borderId="0" xfId="0" applyFont="1" applyFill="1" applyBorder="1" applyAlignment="1">
      <alignment horizontal="left"/>
    </xf>
    <xf numFmtId="2" fontId="56" fillId="0" borderId="0" xfId="0" applyNumberFormat="1" applyFont="1" applyFill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0" fillId="0" borderId="13" xfId="0" applyBorder="1"/>
    <xf numFmtId="169" fontId="0" fillId="0" borderId="13" xfId="0" applyNumberFormat="1" applyBorder="1"/>
    <xf numFmtId="2" fontId="0" fillId="0" borderId="13" xfId="0" applyNumberFormat="1" applyBorder="1"/>
    <xf numFmtId="2" fontId="0" fillId="0" borderId="0" xfId="0" applyNumberFormat="1" applyAlignment="1">
      <alignment horizontal="center"/>
    </xf>
    <xf numFmtId="0" fontId="20" fillId="0" borderId="0" xfId="0" applyFont="1"/>
    <xf numFmtId="0" fontId="11" fillId="2" borderId="0" xfId="0" applyFont="1" applyFill="1" applyBorder="1"/>
    <xf numFmtId="0" fontId="0" fillId="6" borderId="0" xfId="0" applyFill="1"/>
    <xf numFmtId="0" fontId="2" fillId="6" borderId="0" xfId="0" applyFont="1" applyFill="1"/>
    <xf numFmtId="0" fontId="3" fillId="6" borderId="0" xfId="0" applyFont="1" applyFill="1" applyAlignment="1" applyProtection="1">
      <alignment horizontal="left"/>
    </xf>
    <xf numFmtId="0" fontId="11" fillId="6" borderId="14" xfId="0" applyFont="1" applyFill="1" applyBorder="1"/>
    <xf numFmtId="0" fontId="11" fillId="6" borderId="0" xfId="0" applyFont="1" applyFill="1" applyAlignment="1" applyProtection="1">
      <alignment horizontal="left"/>
      <protection locked="0"/>
    </xf>
    <xf numFmtId="1" fontId="11" fillId="6" borderId="2" xfId="0" applyNumberFormat="1" applyFont="1" applyFill="1" applyBorder="1" applyProtection="1">
      <protection locked="0"/>
    </xf>
    <xf numFmtId="0" fontId="2" fillId="6" borderId="0" xfId="0" applyFont="1" applyFill="1" applyAlignment="1" applyProtection="1">
      <alignment horizontal="left"/>
    </xf>
    <xf numFmtId="0" fontId="5" fillId="6" borderId="0" xfId="0" applyFont="1" applyFill="1" applyAlignment="1" applyProtection="1">
      <alignment horizontal="left"/>
    </xf>
    <xf numFmtId="1" fontId="18" fillId="6" borderId="2" xfId="0" applyNumberFormat="1" applyFont="1" applyFill="1" applyBorder="1" applyProtection="1"/>
    <xf numFmtId="0" fontId="14" fillId="6" borderId="0" xfId="0" applyFont="1" applyFill="1"/>
    <xf numFmtId="0" fontId="0" fillId="6" borderId="0" xfId="0" applyFill="1" applyBorder="1"/>
    <xf numFmtId="1" fontId="18" fillId="6" borderId="0" xfId="0" applyNumberFormat="1" applyFont="1" applyFill="1" applyBorder="1" applyProtection="1">
      <protection locked="0"/>
    </xf>
    <xf numFmtId="0" fontId="11" fillId="6" borderId="2" xfId="0" applyFont="1" applyFill="1" applyBorder="1"/>
    <xf numFmtId="0" fontId="1" fillId="6" borderId="0" xfId="0" applyFont="1" applyFill="1" applyBorder="1" applyAlignment="1">
      <alignment horizontal="center"/>
    </xf>
    <xf numFmtId="0" fontId="11" fillId="6" borderId="0" xfId="0" applyFont="1" applyFill="1" applyBorder="1" applyAlignment="1">
      <alignment horizontal="center"/>
    </xf>
    <xf numFmtId="1" fontId="18" fillId="6" borderId="2" xfId="0" applyNumberFormat="1" applyFont="1" applyFill="1" applyBorder="1"/>
    <xf numFmtId="9" fontId="18" fillId="6" borderId="2" xfId="0" applyNumberFormat="1" applyFont="1" applyFill="1" applyBorder="1"/>
    <xf numFmtId="0" fontId="2" fillId="6" borderId="0" xfId="0" applyFont="1" applyFill="1" applyBorder="1" applyAlignment="1" applyProtection="1">
      <alignment horizontal="left"/>
    </xf>
    <xf numFmtId="0" fontId="17" fillId="0" borderId="0" xfId="0" applyFont="1" applyFill="1" applyAlignment="1" applyProtection="1">
      <alignment horizontal="left"/>
      <protection locked="0"/>
    </xf>
    <xf numFmtId="0" fontId="21" fillId="6" borderId="0" xfId="0" applyFont="1" applyFill="1"/>
    <xf numFmtId="0" fontId="1" fillId="6" borderId="0" xfId="0" applyFont="1" applyFill="1"/>
    <xf numFmtId="2" fontId="18" fillId="6" borderId="2" xfId="0" applyNumberFormat="1" applyFont="1" applyFill="1" applyBorder="1"/>
    <xf numFmtId="0" fontId="5" fillId="6" borderId="0" xfId="0" applyFont="1" applyFill="1" applyAlignment="1">
      <alignment horizontal="right"/>
    </xf>
    <xf numFmtId="2" fontId="38" fillId="6" borderId="2" xfId="0" applyNumberFormat="1" applyFont="1" applyFill="1" applyBorder="1"/>
    <xf numFmtId="0" fontId="3" fillId="2" borderId="0" xfId="0" applyFont="1" applyFill="1" applyAlignment="1" applyProtection="1">
      <alignment horizontal="center"/>
      <protection locked="0"/>
    </xf>
    <xf numFmtId="2" fontId="18" fillId="6" borderId="2" xfId="0" applyNumberFormat="1" applyFont="1" applyFill="1" applyBorder="1" applyProtection="1">
      <protection locked="0"/>
    </xf>
    <xf numFmtId="2" fontId="38" fillId="0" borderId="0" xfId="0" applyNumberFormat="1" applyFont="1" applyFill="1" applyBorder="1"/>
    <xf numFmtId="0" fontId="12" fillId="0" borderId="0" xfId="0" applyFont="1" applyFill="1" applyAlignment="1" applyProtection="1">
      <alignment horizontal="left"/>
    </xf>
    <xf numFmtId="168" fontId="5" fillId="0" borderId="0" xfId="0" applyNumberFormat="1" applyFont="1" applyFill="1" applyProtection="1">
      <protection locked="0"/>
    </xf>
    <xf numFmtId="0" fontId="3" fillId="0" borderId="0" xfId="0" applyFont="1" applyFill="1" applyAlignment="1" applyProtection="1">
      <alignment horizontal="left"/>
    </xf>
    <xf numFmtId="0" fontId="11" fillId="2" borderId="0" xfId="0" applyFont="1" applyFill="1"/>
    <xf numFmtId="0" fontId="21" fillId="2" borderId="2" xfId="0" applyFont="1" applyFill="1" applyBorder="1" applyAlignment="1">
      <alignment horizontal="center"/>
    </xf>
    <xf numFmtId="9" fontId="2" fillId="2" borderId="2" xfId="0" applyNumberFormat="1" applyFont="1" applyFill="1" applyBorder="1" applyAlignment="1" applyProtection="1">
      <alignment horizontal="center"/>
    </xf>
    <xf numFmtId="2" fontId="18" fillId="2" borderId="2" xfId="0" applyNumberFormat="1" applyFont="1" applyFill="1" applyBorder="1" applyAlignment="1">
      <alignment horizontal="center"/>
    </xf>
    <xf numFmtId="0" fontId="17" fillId="2" borderId="0" xfId="0" applyFont="1" applyFill="1" applyProtection="1">
      <protection locked="0"/>
    </xf>
    <xf numFmtId="0" fontId="17" fillId="2" borderId="0" xfId="0" applyFont="1" applyFill="1"/>
    <xf numFmtId="9" fontId="2" fillId="2" borderId="35" xfId="0" applyNumberFormat="1" applyFont="1" applyFill="1" applyBorder="1" applyAlignment="1" applyProtection="1"/>
    <xf numFmtId="2" fontId="18" fillId="2" borderId="39" xfId="0" applyNumberFormat="1" applyFont="1" applyFill="1" applyBorder="1"/>
    <xf numFmtId="2" fontId="11" fillId="2" borderId="40" xfId="0" applyNumberFormat="1" applyFont="1" applyFill="1" applyBorder="1"/>
    <xf numFmtId="2" fontId="18" fillId="2" borderId="40" xfId="0" applyNumberFormat="1" applyFont="1" applyFill="1" applyBorder="1"/>
    <xf numFmtId="164" fontId="18" fillId="2" borderId="39" xfId="0" applyNumberFormat="1" applyFont="1" applyFill="1" applyBorder="1"/>
    <xf numFmtId="164" fontId="18" fillId="2" borderId="40" xfId="0" applyNumberFormat="1" applyFont="1" applyFill="1" applyBorder="1"/>
    <xf numFmtId="0" fontId="0" fillId="2" borderId="39" xfId="0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2" borderId="41" xfId="0" applyFill="1" applyBorder="1" applyAlignment="1">
      <alignment horizontal="center"/>
    </xf>
    <xf numFmtId="0" fontId="0" fillId="2" borderId="42" xfId="0" applyFill="1" applyBorder="1" applyAlignment="1">
      <alignment horizontal="center"/>
    </xf>
    <xf numFmtId="0" fontId="0" fillId="2" borderId="43" xfId="0" applyFill="1" applyBorder="1" applyAlignment="1">
      <alignment horizontal="center"/>
    </xf>
    <xf numFmtId="0" fontId="14" fillId="2" borderId="39" xfId="0" applyFont="1" applyFill="1" applyBorder="1"/>
    <xf numFmtId="164" fontId="11" fillId="2" borderId="40" xfId="0" applyNumberFormat="1" applyFont="1" applyFill="1" applyBorder="1"/>
    <xf numFmtId="0" fontId="0" fillId="2" borderId="39" xfId="0" applyFill="1" applyBorder="1"/>
    <xf numFmtId="164" fontId="11" fillId="2" borderId="40" xfId="0" applyNumberFormat="1" applyFont="1" applyFill="1" applyBorder="1" applyAlignment="1"/>
    <xf numFmtId="0" fontId="11" fillId="2" borderId="40" xfId="0" applyFont="1" applyFill="1" applyBorder="1" applyAlignment="1"/>
    <xf numFmtId="164" fontId="18" fillId="2" borderId="41" xfId="0" applyNumberFormat="1" applyFont="1" applyFill="1" applyBorder="1"/>
    <xf numFmtId="9" fontId="2" fillId="2" borderId="42" xfId="0" applyNumberFormat="1" applyFont="1" applyFill="1" applyBorder="1" applyAlignment="1" applyProtection="1">
      <alignment horizontal="center"/>
    </xf>
    <xf numFmtId="171" fontId="3" fillId="2" borderId="39" xfId="0" applyNumberFormat="1" applyFont="1" applyFill="1" applyBorder="1" applyAlignment="1" applyProtection="1">
      <protection locked="0"/>
    </xf>
    <xf numFmtId="171" fontId="11" fillId="2" borderId="40" xfId="0" applyNumberFormat="1" applyFont="1" applyFill="1" applyBorder="1" applyAlignment="1" applyProtection="1"/>
    <xf numFmtId="171" fontId="16" fillId="2" borderId="39" xfId="0" applyNumberFormat="1" applyFont="1" applyFill="1" applyBorder="1" applyAlignment="1" applyProtection="1">
      <protection locked="0"/>
    </xf>
    <xf numFmtId="171" fontId="40" fillId="2" borderId="40" xfId="0" applyNumberFormat="1" applyFont="1" applyFill="1" applyBorder="1" applyAlignment="1" applyProtection="1">
      <protection locked="0"/>
    </xf>
    <xf numFmtId="164" fontId="18" fillId="2" borderId="39" xfId="0" applyNumberFormat="1" applyFont="1" applyFill="1" applyBorder="1" applyAlignment="1" applyProtection="1">
      <protection locked="0"/>
    </xf>
    <xf numFmtId="164" fontId="11" fillId="2" borderId="40" xfId="0" applyNumberFormat="1" applyFont="1" applyFill="1" applyBorder="1" applyAlignment="1" applyProtection="1"/>
    <xf numFmtId="2" fontId="18" fillId="2" borderId="39" xfId="0" applyNumberFormat="1" applyFont="1" applyFill="1" applyBorder="1" applyAlignment="1" applyProtection="1">
      <protection locked="0"/>
    </xf>
    <xf numFmtId="1" fontId="18" fillId="2" borderId="39" xfId="0" applyNumberFormat="1" applyFont="1" applyFill="1" applyBorder="1" applyAlignment="1" applyProtection="1">
      <protection locked="0"/>
    </xf>
    <xf numFmtId="0" fontId="11" fillId="2" borderId="40" xfId="0" applyFont="1" applyFill="1" applyBorder="1" applyAlignment="1" applyProtection="1"/>
    <xf numFmtId="1" fontId="18" fillId="2" borderId="41" xfId="0" applyNumberFormat="1" applyFont="1" applyFill="1" applyBorder="1" applyAlignment="1" applyProtection="1">
      <protection locked="0"/>
    </xf>
    <xf numFmtId="0" fontId="11" fillId="2" borderId="43" xfId="0" applyFont="1" applyFill="1" applyBorder="1" applyAlignment="1" applyProtection="1"/>
    <xf numFmtId="0" fontId="18" fillId="2" borderId="35" xfId="0" applyFont="1" applyFill="1" applyBorder="1"/>
    <xf numFmtId="0" fontId="11" fillId="2" borderId="35" xfId="0" applyFont="1" applyFill="1" applyBorder="1"/>
    <xf numFmtId="0" fontId="17" fillId="6" borderId="0" xfId="0" applyFont="1" applyFill="1"/>
    <xf numFmtId="0" fontId="51" fillId="0" borderId="0" xfId="0" applyFont="1" applyBorder="1" applyAlignment="1">
      <alignment horizontal="left"/>
    </xf>
    <xf numFmtId="2" fontId="5" fillId="0" borderId="0" xfId="0" applyNumberFormat="1" applyFont="1" applyBorder="1" applyAlignment="1">
      <alignment horizontal="left"/>
    </xf>
    <xf numFmtId="2" fontId="5" fillId="0" borderId="2" xfId="0" applyNumberFormat="1" applyFont="1" applyBorder="1" applyAlignment="1">
      <alignment horizontal="center"/>
    </xf>
    <xf numFmtId="2" fontId="5" fillId="0" borderId="0" xfId="0" applyNumberFormat="1" applyFont="1" applyFill="1" applyBorder="1" applyAlignment="1">
      <alignment horizontal="left" vertical="center"/>
    </xf>
    <xf numFmtId="0" fontId="0" fillId="0" borderId="0" xfId="0" applyFill="1" applyBorder="1" applyAlignment="1">
      <alignment horizontal="left"/>
    </xf>
    <xf numFmtId="0" fontId="51" fillId="0" borderId="0" xfId="0" applyFont="1" applyFill="1" applyBorder="1" applyAlignment="1">
      <alignment horizontal="left"/>
    </xf>
    <xf numFmtId="0" fontId="52" fillId="0" borderId="0" xfId="0" applyFont="1" applyFill="1" applyBorder="1" applyAlignment="1">
      <alignment horizontal="left"/>
    </xf>
    <xf numFmtId="0" fontId="57" fillId="0" borderId="0" xfId="0" applyFont="1"/>
    <xf numFmtId="0" fontId="18" fillId="2" borderId="3" xfId="0" applyFont="1" applyFill="1" applyBorder="1" applyAlignment="1" applyProtection="1">
      <alignment horizontal="center"/>
      <protection locked="0"/>
    </xf>
    <xf numFmtId="0" fontId="18" fillId="2" borderId="5" xfId="0" applyFont="1" applyFill="1" applyBorder="1" applyAlignment="1" applyProtection="1">
      <alignment horizontal="center"/>
      <protection locked="0"/>
    </xf>
    <xf numFmtId="0" fontId="5" fillId="2" borderId="0" xfId="0" applyFont="1" applyFill="1" applyBorder="1" applyAlignment="1">
      <alignment horizontal="left"/>
    </xf>
    <xf numFmtId="0" fontId="5" fillId="2" borderId="0" xfId="0" applyFont="1" applyFill="1" applyBorder="1" applyAlignment="1"/>
    <xf numFmtId="0" fontId="16" fillId="2" borderId="4" xfId="0" applyFont="1" applyFill="1" applyBorder="1" applyProtection="1">
      <protection locked="0"/>
    </xf>
    <xf numFmtId="0" fontId="58" fillId="2" borderId="4" xfId="0" applyFont="1" applyFill="1" applyBorder="1" applyProtection="1">
      <protection locked="0"/>
    </xf>
    <xf numFmtId="164" fontId="59" fillId="0" borderId="34" xfId="0" applyNumberFormat="1" applyFont="1" applyBorder="1"/>
    <xf numFmtId="9" fontId="59" fillId="0" borderId="2" xfId="0" applyNumberFormat="1" applyFont="1" applyBorder="1"/>
    <xf numFmtId="164" fontId="59" fillId="0" borderId="2" xfId="0" applyNumberFormat="1" applyFont="1" applyBorder="1" applyAlignment="1">
      <alignment horizontal="right"/>
    </xf>
    <xf numFmtId="9" fontId="51" fillId="0" borderId="2" xfId="0" applyNumberFormat="1" applyFont="1" applyFill="1" applyBorder="1" applyAlignment="1">
      <alignment horizontal="center"/>
    </xf>
    <xf numFmtId="164" fontId="59" fillId="0" borderId="34" xfId="0" applyNumberFormat="1" applyFont="1" applyFill="1" applyBorder="1" applyAlignment="1"/>
    <xf numFmtId="0" fontId="59" fillId="0" borderId="2" xfId="0" applyFont="1" applyBorder="1" applyAlignment="1">
      <alignment horizontal="right"/>
    </xf>
    <xf numFmtId="0" fontId="60" fillId="0" borderId="2" xfId="0" applyFont="1" applyBorder="1" applyAlignment="1">
      <alignment horizontal="right"/>
    </xf>
    <xf numFmtId="164" fontId="24" fillId="0" borderId="34" xfId="0" applyNumberFormat="1" applyFont="1" applyFill="1" applyBorder="1" applyAlignment="1">
      <alignment horizontal="center"/>
    </xf>
    <xf numFmtId="164" fontId="53" fillId="0" borderId="2" xfId="0" applyNumberFormat="1" applyFont="1" applyFill="1" applyBorder="1" applyAlignment="1">
      <alignment horizontal="center"/>
    </xf>
    <xf numFmtId="164" fontId="53" fillId="0" borderId="34" xfId="0" applyNumberFormat="1" applyFont="1" applyFill="1" applyBorder="1" applyAlignment="1">
      <alignment horizontal="center"/>
    </xf>
    <xf numFmtId="164" fontId="39" fillId="0" borderId="2" xfId="0" applyNumberFormat="1" applyFont="1" applyFill="1" applyBorder="1" applyAlignment="1">
      <alignment horizontal="center"/>
    </xf>
    <xf numFmtId="164" fontId="61" fillId="0" borderId="2" xfId="0" applyNumberFormat="1" applyFont="1" applyBorder="1" applyAlignment="1">
      <alignment horizontal="right"/>
    </xf>
    <xf numFmtId="164" fontId="11" fillId="2" borderId="43" xfId="0" applyNumberFormat="1" applyFont="1" applyFill="1" applyBorder="1" applyAlignment="1"/>
    <xf numFmtId="9" fontId="51" fillId="0" borderId="2" xfId="0" applyNumberFormat="1" applyFont="1" applyBorder="1" applyAlignment="1">
      <alignment horizontal="center"/>
    </xf>
    <xf numFmtId="164" fontId="59" fillId="0" borderId="34" xfId="0" applyNumberFormat="1" applyFont="1" applyFill="1" applyBorder="1"/>
    <xf numFmtId="0" fontId="5" fillId="0" borderId="0" xfId="0" applyFont="1" applyAlignment="1">
      <alignment horizontal="right"/>
    </xf>
    <xf numFmtId="0" fontId="5" fillId="7" borderId="0" xfId="0" applyFont="1" applyFill="1"/>
    <xf numFmtId="0" fontId="0" fillId="7" borderId="0" xfId="0" applyFill="1"/>
    <xf numFmtId="0" fontId="5" fillId="7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5" fillId="0" borderId="0" xfId="0" applyFont="1" applyFill="1" applyBorder="1"/>
    <xf numFmtId="169" fontId="5" fillId="0" borderId="0" xfId="0" applyNumberFormat="1" applyFont="1" applyFill="1" applyBorder="1"/>
    <xf numFmtId="0" fontId="0" fillId="0" borderId="0" xfId="0" applyAlignment="1">
      <alignment wrapText="1"/>
    </xf>
    <xf numFmtId="0" fontId="5" fillId="0" borderId="0" xfId="0" applyFont="1" applyFill="1" applyBorder="1" applyAlignment="1">
      <alignment wrapText="1"/>
    </xf>
    <xf numFmtId="0" fontId="5" fillId="0" borderId="0" xfId="0" applyFont="1" applyFill="1" applyBorder="1" applyAlignment="1">
      <alignment horizontal="center" wrapText="1"/>
    </xf>
    <xf numFmtId="2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" fontId="0" fillId="0" borderId="0" xfId="0" applyNumberForma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left" indent="1"/>
    </xf>
    <xf numFmtId="0" fontId="5" fillId="0" borderId="0" xfId="0" applyFont="1" applyFill="1" applyBorder="1" applyAlignment="1">
      <alignment horizontal="center"/>
    </xf>
    <xf numFmtId="0" fontId="2" fillId="0" borderId="39" xfId="0" applyFont="1" applyBorder="1"/>
    <xf numFmtId="2" fontId="2" fillId="0" borderId="40" xfId="0" applyNumberFormat="1" applyFont="1" applyBorder="1"/>
    <xf numFmtId="0" fontId="2" fillId="0" borderId="41" xfId="0" applyFont="1" applyBorder="1"/>
    <xf numFmtId="0" fontId="2" fillId="0" borderId="44" xfId="0" applyFont="1" applyBorder="1"/>
    <xf numFmtId="2" fontId="2" fillId="0" borderId="29" xfId="0" applyNumberFormat="1" applyFont="1" applyBorder="1"/>
    <xf numFmtId="0" fontId="5" fillId="2" borderId="45" xfId="0" applyFont="1" applyFill="1" applyBorder="1"/>
    <xf numFmtId="0" fontId="5" fillId="2" borderId="46" xfId="0" applyFont="1" applyFill="1" applyBorder="1" applyAlignment="1">
      <alignment horizontal="center"/>
    </xf>
    <xf numFmtId="0" fontId="5" fillId="0" borderId="30" xfId="0" applyFont="1" applyBorder="1"/>
    <xf numFmtId="0" fontId="5" fillId="0" borderId="30" xfId="0" applyFont="1" applyBorder="1" applyAlignment="1">
      <alignment horizontal="center"/>
    </xf>
    <xf numFmtId="0" fontId="0" fillId="0" borderId="0" xfId="0" applyAlignment="1">
      <alignment horizontal="left" indent="1"/>
    </xf>
    <xf numFmtId="2" fontId="2" fillId="0" borderId="43" xfId="0" applyNumberFormat="1" applyFont="1" applyBorder="1"/>
    <xf numFmtId="0" fontId="5" fillId="0" borderId="47" xfId="0" applyFont="1" applyBorder="1" applyAlignment="1">
      <alignment horizontal="right"/>
    </xf>
    <xf numFmtId="2" fontId="5" fillId="0" borderId="48" xfId="0" applyNumberFormat="1" applyFont="1" applyBorder="1"/>
    <xf numFmtId="0" fontId="29" fillId="0" borderId="0" xfId="0" applyFont="1" applyAlignment="1" applyProtection="1">
      <alignment horizontal="left"/>
    </xf>
    <xf numFmtId="0" fontId="62" fillId="0" borderId="0" xfId="0" applyFont="1"/>
    <xf numFmtId="0" fontId="63" fillId="0" borderId="0" xfId="0" applyFont="1"/>
    <xf numFmtId="0" fontId="5" fillId="0" borderId="0" xfId="0" applyFont="1" applyBorder="1" applyAlignment="1">
      <alignment horizontal="left"/>
    </xf>
    <xf numFmtId="2" fontId="5" fillId="0" borderId="0" xfId="0" applyNumberFormat="1" applyFont="1" applyBorder="1" applyAlignment="1">
      <alignment horizontal="center"/>
    </xf>
    <xf numFmtId="9" fontId="2" fillId="0" borderId="0" xfId="0" applyNumberFormat="1" applyFont="1" applyBorder="1" applyAlignment="1">
      <alignment horizontal="center"/>
    </xf>
    <xf numFmtId="171" fontId="0" fillId="0" borderId="0" xfId="0" applyNumberFormat="1"/>
    <xf numFmtId="0" fontId="64" fillId="0" borderId="0" xfId="0" applyFont="1"/>
    <xf numFmtId="164" fontId="11" fillId="0" borderId="0" xfId="0" applyNumberFormat="1" applyFont="1" applyBorder="1" applyProtection="1">
      <protection locked="0"/>
    </xf>
    <xf numFmtId="2" fontId="65" fillId="0" borderId="49" xfId="0" applyNumberFormat="1" applyFont="1" applyBorder="1" applyProtection="1">
      <protection locked="0"/>
    </xf>
    <xf numFmtId="0" fontId="65" fillId="0" borderId="50" xfId="0" applyFont="1" applyBorder="1" applyAlignment="1" applyProtection="1">
      <alignment horizontal="left"/>
    </xf>
    <xf numFmtId="1" fontId="65" fillId="0" borderId="28" xfId="0" applyNumberFormat="1" applyFont="1" applyBorder="1" applyProtection="1">
      <protection locked="0"/>
    </xf>
    <xf numFmtId="2" fontId="65" fillId="0" borderId="51" xfId="0" applyNumberFormat="1" applyFont="1" applyBorder="1" applyAlignment="1" applyProtection="1">
      <alignment horizontal="right"/>
    </xf>
    <xf numFmtId="1" fontId="65" fillId="0" borderId="36" xfId="0" applyNumberFormat="1" applyFont="1" applyBorder="1" applyProtection="1"/>
    <xf numFmtId="2" fontId="65" fillId="0" borderId="52" xfId="0" applyNumberFormat="1" applyFont="1" applyBorder="1" applyAlignment="1" applyProtection="1">
      <alignment horizontal="right"/>
    </xf>
    <xf numFmtId="2" fontId="65" fillId="0" borderId="36" xfId="0" applyNumberFormat="1" applyFont="1" applyBorder="1" applyProtection="1">
      <protection locked="0"/>
    </xf>
    <xf numFmtId="0" fontId="65" fillId="0" borderId="52" xfId="0" applyFont="1" applyBorder="1" applyAlignment="1" applyProtection="1">
      <alignment horizontal="left"/>
    </xf>
    <xf numFmtId="0" fontId="5" fillId="0" borderId="0" xfId="0" applyFont="1" applyAlignment="1" applyProtection="1">
      <alignment horizontal="left"/>
    </xf>
    <xf numFmtId="0" fontId="5" fillId="8" borderId="2" xfId="0" applyFont="1" applyFill="1" applyBorder="1" applyAlignment="1">
      <alignment horizontal="center" vertical="center"/>
    </xf>
    <xf numFmtId="2" fontId="5" fillId="8" borderId="2" xfId="0" applyNumberFormat="1" applyFont="1" applyFill="1" applyBorder="1" applyAlignment="1">
      <alignment horizontal="center" vertical="center" wrapText="1"/>
    </xf>
    <xf numFmtId="0" fontId="66" fillId="0" borderId="0" xfId="0" applyFont="1" applyAlignment="1">
      <alignment wrapText="1"/>
    </xf>
    <xf numFmtId="0" fontId="0" fillId="0" borderId="0" xfId="0" applyNumberFormat="1"/>
    <xf numFmtId="164" fontId="11" fillId="9" borderId="2" xfId="0" applyNumberFormat="1" applyFont="1" applyFill="1" applyBorder="1"/>
    <xf numFmtId="164" fontId="11" fillId="9" borderId="2" xfId="0" applyNumberFormat="1" applyFont="1" applyFill="1" applyBorder="1" applyProtection="1">
      <protection locked="0"/>
    </xf>
    <xf numFmtId="171" fontId="53" fillId="0" borderId="2" xfId="0" applyNumberFormat="1" applyFont="1" applyBorder="1" applyProtection="1">
      <protection locked="0"/>
    </xf>
    <xf numFmtId="0" fontId="0" fillId="9" borderId="0" xfId="0" applyFill="1"/>
    <xf numFmtId="0" fontId="0" fillId="9" borderId="2" xfId="0" applyFill="1" applyBorder="1"/>
    <xf numFmtId="0" fontId="0" fillId="9" borderId="0" xfId="0" applyFill="1" applyBorder="1"/>
    <xf numFmtId="2" fontId="3" fillId="9" borderId="14" xfId="0" applyNumberFormat="1" applyFont="1" applyFill="1" applyBorder="1" applyProtection="1">
      <protection locked="0"/>
    </xf>
    <xf numFmtId="0" fontId="1" fillId="9" borderId="0" xfId="0" applyFont="1" applyFill="1" applyAlignment="1">
      <alignment horizontal="right"/>
    </xf>
    <xf numFmtId="2" fontId="1" fillId="9" borderId="2" xfId="0" applyNumberFormat="1" applyFont="1" applyFill="1" applyBorder="1"/>
    <xf numFmtId="164" fontId="18" fillId="9" borderId="15" xfId="0" applyNumberFormat="1" applyFont="1" applyFill="1" applyBorder="1" applyProtection="1"/>
    <xf numFmtId="1" fontId="18" fillId="6" borderId="0" xfId="0" applyNumberFormat="1" applyFont="1" applyFill="1" applyBorder="1"/>
    <xf numFmtId="0" fontId="18" fillId="6" borderId="0" xfId="0" applyFont="1" applyFill="1" applyBorder="1"/>
    <xf numFmtId="9" fontId="18" fillId="6" borderId="0" xfId="0" applyNumberFormat="1" applyFont="1" applyFill="1" applyBorder="1"/>
    <xf numFmtId="169" fontId="0" fillId="9" borderId="2" xfId="0" applyNumberFormat="1" applyFill="1" applyBorder="1"/>
    <xf numFmtId="0" fontId="11" fillId="9" borderId="2" xfId="0" applyFont="1" applyFill="1" applyBorder="1"/>
    <xf numFmtId="169" fontId="11" fillId="9" borderId="2" xfId="0" applyNumberFormat="1" applyFont="1" applyFill="1" applyBorder="1"/>
    <xf numFmtId="0" fontId="67" fillId="0" borderId="0" xfId="0" applyFont="1"/>
    <xf numFmtId="2" fontId="67" fillId="0" borderId="0" xfId="0" applyNumberFormat="1" applyFont="1"/>
    <xf numFmtId="2" fontId="2" fillId="9" borderId="14" xfId="0" applyNumberFormat="1" applyFont="1" applyFill="1" applyBorder="1" applyProtection="1">
      <protection locked="0"/>
    </xf>
    <xf numFmtId="0" fontId="40" fillId="9" borderId="0" xfId="0" applyFont="1" applyFill="1" applyAlignment="1" applyProtection="1">
      <alignment horizontal="left"/>
      <protection locked="0"/>
    </xf>
    <xf numFmtId="0" fontId="12" fillId="9" borderId="0" xfId="0" applyFont="1" applyFill="1" applyAlignment="1" applyProtection="1">
      <alignment horizontal="left"/>
      <protection locked="0"/>
    </xf>
    <xf numFmtId="0" fontId="1" fillId="9" borderId="0" xfId="0" applyFont="1" applyFill="1" applyBorder="1" applyAlignment="1">
      <alignment horizontal="left"/>
    </xf>
    <xf numFmtId="171" fontId="11" fillId="2" borderId="2" xfId="0" applyNumberFormat="1" applyFont="1" applyFill="1" applyBorder="1"/>
    <xf numFmtId="0" fontId="65" fillId="0" borderId="0" xfId="0" applyFont="1" applyBorder="1" applyAlignment="1" applyProtection="1">
      <alignment horizontal="left"/>
    </xf>
    <xf numFmtId="2" fontId="65" fillId="0" borderId="0" xfId="0" applyNumberFormat="1" applyFont="1" applyBorder="1" applyAlignment="1" applyProtection="1">
      <alignment horizontal="right"/>
    </xf>
    <xf numFmtId="15" fontId="0" fillId="0" borderId="0" xfId="0" applyNumberFormat="1"/>
    <xf numFmtId="0" fontId="5" fillId="0" borderId="2" xfId="0" applyFont="1" applyBorder="1" applyAlignment="1">
      <alignment horizontal="center"/>
    </xf>
    <xf numFmtId="0" fontId="5" fillId="0" borderId="2" xfId="0" applyFont="1" applyBorder="1" applyAlignment="1">
      <alignment horizontal="center" wrapText="1"/>
    </xf>
    <xf numFmtId="2" fontId="0" fillId="0" borderId="2" xfId="0" applyNumberFormat="1" applyBorder="1"/>
    <xf numFmtId="164" fontId="0" fillId="0" borderId="2" xfId="0" applyNumberFormat="1" applyBorder="1"/>
    <xf numFmtId="0" fontId="0" fillId="10" borderId="2" xfId="0" applyFill="1" applyBorder="1"/>
    <xf numFmtId="2" fontId="0" fillId="10" borderId="2" xfId="0" applyNumberFormat="1" applyFill="1" applyBorder="1"/>
    <xf numFmtId="164" fontId="0" fillId="10" borderId="2" xfId="0" applyNumberFormat="1" applyFill="1" applyBorder="1"/>
    <xf numFmtId="0" fontId="5" fillId="10" borderId="2" xfId="0" applyFont="1" applyFill="1" applyBorder="1"/>
    <xf numFmtId="2" fontId="5" fillId="10" borderId="2" xfId="0" applyNumberFormat="1" applyFont="1" applyFill="1" applyBorder="1"/>
    <xf numFmtId="164" fontId="5" fillId="10" borderId="2" xfId="0" applyNumberFormat="1" applyFont="1" applyFill="1" applyBorder="1"/>
    <xf numFmtId="0" fontId="5" fillId="0" borderId="2" xfId="0" applyFont="1" applyFill="1" applyBorder="1" applyAlignment="1">
      <alignment horizont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0" fontId="0" fillId="0" borderId="28" xfId="0" applyFill="1" applyBorder="1" applyAlignment="1">
      <alignment horizontal="left"/>
    </xf>
    <xf numFmtId="0" fontId="0" fillId="0" borderId="0" xfId="0" applyAlignment="1"/>
    <xf numFmtId="2" fontId="0" fillId="0" borderId="28" xfId="0" applyNumberFormat="1" applyFill="1" applyBorder="1" applyAlignment="1">
      <alignment horizontal="left"/>
    </xf>
    <xf numFmtId="0" fontId="2" fillId="0" borderId="28" xfId="0" applyFont="1" applyFill="1" applyBorder="1" applyAlignment="1">
      <alignment horizontal="left"/>
    </xf>
    <xf numFmtId="0" fontId="5" fillId="0" borderId="34" xfId="0" applyFont="1" applyBorder="1" applyAlignment="1">
      <alignment horizontal="left" vertical="top" wrapText="1"/>
    </xf>
    <xf numFmtId="0" fontId="5" fillId="0" borderId="7" xfId="0" applyFont="1" applyBorder="1" applyAlignment="1">
      <alignment horizontal="left" vertical="top" wrapText="1"/>
    </xf>
    <xf numFmtId="0" fontId="5" fillId="0" borderId="38" xfId="0" applyFont="1" applyBorder="1" applyAlignment="1">
      <alignment horizontal="left" vertical="top" wrapText="1"/>
    </xf>
    <xf numFmtId="0" fontId="68" fillId="0" borderId="0" xfId="0" applyFont="1" applyBorder="1" applyAlignment="1">
      <alignment horizontal="center" vertical="top" wrapText="1"/>
    </xf>
    <xf numFmtId="0" fontId="69" fillId="0" borderId="34" xfId="0" applyFont="1" applyBorder="1" applyAlignment="1">
      <alignment horizontal="center" vertical="top" wrapText="1"/>
    </xf>
    <xf numFmtId="0" fontId="69" fillId="0" borderId="7" xfId="0" applyFont="1" applyBorder="1" applyAlignment="1">
      <alignment horizontal="center" vertical="top" wrapText="1"/>
    </xf>
    <xf numFmtId="0" fontId="69" fillId="0" borderId="38" xfId="0" applyFont="1" applyBorder="1" applyAlignment="1">
      <alignment horizontal="center" vertical="top" wrapText="1"/>
    </xf>
    <xf numFmtId="0" fontId="5" fillId="0" borderId="30" xfId="0" applyFont="1" applyBorder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Wire Boom Oscillation Modes</a:t>
            </a:r>
          </a:p>
        </c:rich>
      </c:tx>
      <c:layout>
        <c:manualLayout>
          <c:xMode val="edge"/>
          <c:yMode val="edge"/>
          <c:x val="0.2943729761052602"/>
          <c:y val="3.7542662116040987E-2"/>
        </c:manualLayout>
      </c:layout>
      <c:spPr>
        <a:noFill/>
        <a:ln w="25400">
          <a:noFill/>
        </a:ln>
      </c:spPr>
    </c:title>
    <c:plotArea>
      <c:layout>
        <c:manualLayout>
          <c:layoutTarget val="inner"/>
          <c:xMode val="edge"/>
          <c:yMode val="edge"/>
          <c:x val="0.12987040438650818"/>
          <c:y val="0.1604095563139932"/>
          <c:w val="0.82684157459410312"/>
          <c:h val="0.62798634812286658"/>
        </c:manualLayout>
      </c:layout>
      <c:scatterChart>
        <c:scatterStyle val="lineMarker"/>
        <c:ser>
          <c:idx val="0"/>
          <c:order val="0"/>
          <c:tx>
            <c:strRef>
              <c:f>SPB!$AK$19</c:f>
              <c:strCache>
                <c:ptCount val="1"/>
                <c:pt idx="0">
                  <c:v>Deploy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iamond"/>
            <c:size val="5"/>
            <c:spPr>
              <a:noFill/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SPB!$C$31:$C$50</c:f>
              <c:numCache>
                <c:formatCode>General</c:formatCode>
                <c:ptCount val="20"/>
                <c:pt idx="0">
                  <c:v>10</c:v>
                </c:pt>
                <c:pt idx="1">
                  <c:v>15</c:v>
                </c:pt>
                <c:pt idx="2">
                  <c:v>15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25</c:v>
                </c:pt>
                <c:pt idx="7">
                  <c:v>25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35</c:v>
                </c:pt>
                <c:pt idx="12">
                  <c:v>35</c:v>
                </c:pt>
                <c:pt idx="13">
                  <c:v>40</c:v>
                </c:pt>
                <c:pt idx="14">
                  <c:v>40</c:v>
                </c:pt>
                <c:pt idx="15" formatCode="0">
                  <c:v>45</c:v>
                </c:pt>
                <c:pt idx="16" formatCode="0.00">
                  <c:v>45</c:v>
                </c:pt>
                <c:pt idx="17" formatCode="0.00">
                  <c:v>49.094999999999999</c:v>
                </c:pt>
                <c:pt idx="18" formatCode="0.00">
                  <c:v>49.094999999999999</c:v>
                </c:pt>
                <c:pt idx="19" formatCode="0.00">
                  <c:v>49.095123190246383</c:v>
                </c:pt>
              </c:numCache>
            </c:numRef>
          </c:xVal>
          <c:yVal>
            <c:numRef>
              <c:f>SPB!$AK$31:$AK$50</c:f>
              <c:numCache>
                <c:formatCode>0.00_)</c:formatCode>
                <c:ptCount val="20"/>
                <c:pt idx="0">
                  <c:v>0.29551695753749607</c:v>
                </c:pt>
                <c:pt idx="1">
                  <c:v>0.24096708276516607</c:v>
                </c:pt>
                <c:pt idx="2">
                  <c:v>0.24096708276516607</c:v>
                </c:pt>
                <c:pt idx="3">
                  <c:v>0.20909405832177924</c:v>
                </c:pt>
                <c:pt idx="4">
                  <c:v>0.20909405832177924</c:v>
                </c:pt>
                <c:pt idx="5">
                  <c:v>0.20909405832177924</c:v>
                </c:pt>
                <c:pt idx="6">
                  <c:v>0.18765893615194992</c:v>
                </c:pt>
                <c:pt idx="7">
                  <c:v>0.18765893615194992</c:v>
                </c:pt>
                <c:pt idx="8">
                  <c:v>0.17199442552305602</c:v>
                </c:pt>
                <c:pt idx="9">
                  <c:v>0.17199442552305602</c:v>
                </c:pt>
                <c:pt idx="10">
                  <c:v>0.17199442552305602</c:v>
                </c:pt>
                <c:pt idx="11">
                  <c:v>0.15990299003321243</c:v>
                </c:pt>
                <c:pt idx="12">
                  <c:v>0.15990299003321243</c:v>
                </c:pt>
                <c:pt idx="13">
                  <c:v>0.15020082196254331</c:v>
                </c:pt>
                <c:pt idx="14">
                  <c:v>0.15020082196254331</c:v>
                </c:pt>
                <c:pt idx="15">
                  <c:v>0.14218781261373323</c:v>
                </c:pt>
                <c:pt idx="16">
                  <c:v>0.14218781261373323</c:v>
                </c:pt>
                <c:pt idx="17">
                  <c:v>0.13656779762094984</c:v>
                </c:pt>
                <c:pt idx="18">
                  <c:v>0.13656779762094984</c:v>
                </c:pt>
                <c:pt idx="19">
                  <c:v>0.13656763928156276</c:v>
                </c:pt>
              </c:numCache>
            </c:numRef>
          </c:yVal>
        </c:ser>
        <c:ser>
          <c:idx val="1"/>
          <c:order val="1"/>
          <c:tx>
            <c:strRef>
              <c:f>SPB!$AL$19</c:f>
              <c:strCache>
                <c:ptCount val="1"/>
                <c:pt idx="0">
                  <c:v> Drag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square"/>
            <c:size val="5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xVal>
            <c:numRef>
              <c:f>SPB!$C$31:$C$50</c:f>
              <c:numCache>
                <c:formatCode>General</c:formatCode>
                <c:ptCount val="20"/>
                <c:pt idx="0">
                  <c:v>10</c:v>
                </c:pt>
                <c:pt idx="1">
                  <c:v>15</c:v>
                </c:pt>
                <c:pt idx="2">
                  <c:v>15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25</c:v>
                </c:pt>
                <c:pt idx="7">
                  <c:v>25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35</c:v>
                </c:pt>
                <c:pt idx="12">
                  <c:v>35</c:v>
                </c:pt>
                <c:pt idx="13">
                  <c:v>40</c:v>
                </c:pt>
                <c:pt idx="14">
                  <c:v>40</c:v>
                </c:pt>
                <c:pt idx="15" formatCode="0">
                  <c:v>45</c:v>
                </c:pt>
                <c:pt idx="16" formatCode="0.00">
                  <c:v>45</c:v>
                </c:pt>
                <c:pt idx="17" formatCode="0.00">
                  <c:v>49.094999999999999</c:v>
                </c:pt>
                <c:pt idx="18" formatCode="0.00">
                  <c:v>49.094999999999999</c:v>
                </c:pt>
                <c:pt idx="19" formatCode="0.00">
                  <c:v>49.095123190246383</c:v>
                </c:pt>
              </c:numCache>
            </c:numRef>
          </c:xVal>
          <c:yVal>
            <c:numRef>
              <c:f>SPB!$AL$31:$AL$50</c:f>
              <c:numCache>
                <c:formatCode>0.00_)</c:formatCode>
                <c:ptCount val="20"/>
                <c:pt idx="0">
                  <c:v>0.29558116096529902</c:v>
                </c:pt>
                <c:pt idx="1">
                  <c:v>0.24102441874095876</c:v>
                </c:pt>
                <c:pt idx="2">
                  <c:v>0.24102441874095876</c:v>
                </c:pt>
                <c:pt idx="3">
                  <c:v>0.20914777609284996</c:v>
                </c:pt>
                <c:pt idx="4">
                  <c:v>0.20914777609284996</c:v>
                </c:pt>
                <c:pt idx="5">
                  <c:v>0.20914777609284996</c:v>
                </c:pt>
                <c:pt idx="6">
                  <c:v>0.18771063301577023</c:v>
                </c:pt>
                <c:pt idx="7">
                  <c:v>0.18771063301577023</c:v>
                </c:pt>
                <c:pt idx="8">
                  <c:v>0.17204498670001003</c:v>
                </c:pt>
                <c:pt idx="9">
                  <c:v>0.17204498670001003</c:v>
                </c:pt>
                <c:pt idx="10">
                  <c:v>0.17204498670001003</c:v>
                </c:pt>
                <c:pt idx="11">
                  <c:v>0.15995295344554758</c:v>
                </c:pt>
                <c:pt idx="12">
                  <c:v>0.15995295344554758</c:v>
                </c:pt>
                <c:pt idx="13">
                  <c:v>0.15025053677307193</c:v>
                </c:pt>
                <c:pt idx="14">
                  <c:v>0.15025053677307193</c:v>
                </c:pt>
                <c:pt idx="15">
                  <c:v>0.14223751664523862</c:v>
                </c:pt>
                <c:pt idx="16">
                  <c:v>0.14223751664523862</c:v>
                </c:pt>
                <c:pt idx="17">
                  <c:v>0.13661762021081056</c:v>
                </c:pt>
                <c:pt idx="18">
                  <c:v>0.13661762021081056</c:v>
                </c:pt>
                <c:pt idx="19">
                  <c:v>0.13661746187639676</c:v>
                </c:pt>
              </c:numCache>
            </c:numRef>
          </c:yVal>
        </c:ser>
        <c:ser>
          <c:idx val="2"/>
          <c:order val="2"/>
          <c:tx>
            <c:strRef>
              <c:f>SPB!$AM$19</c:f>
              <c:strCache>
                <c:ptCount val="1"/>
                <c:pt idx="0">
                  <c:v> ACS</c:v>
                </c:pt>
              </c:strCache>
            </c:strRef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triangl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SPB!$C$31:$C$50</c:f>
              <c:numCache>
                <c:formatCode>General</c:formatCode>
                <c:ptCount val="20"/>
                <c:pt idx="0">
                  <c:v>10</c:v>
                </c:pt>
                <c:pt idx="1">
                  <c:v>15</c:v>
                </c:pt>
                <c:pt idx="2">
                  <c:v>15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25</c:v>
                </c:pt>
                <c:pt idx="7">
                  <c:v>25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35</c:v>
                </c:pt>
                <c:pt idx="12">
                  <c:v>35</c:v>
                </c:pt>
                <c:pt idx="13">
                  <c:v>40</c:v>
                </c:pt>
                <c:pt idx="14">
                  <c:v>40</c:v>
                </c:pt>
                <c:pt idx="15" formatCode="0">
                  <c:v>45</c:v>
                </c:pt>
                <c:pt idx="16" formatCode="0.00">
                  <c:v>45</c:v>
                </c:pt>
                <c:pt idx="17" formatCode="0.00">
                  <c:v>49.094999999999999</c:v>
                </c:pt>
                <c:pt idx="18" formatCode="0.00">
                  <c:v>49.094999999999999</c:v>
                </c:pt>
                <c:pt idx="19" formatCode="0.00">
                  <c:v>49.095123190246383</c:v>
                </c:pt>
              </c:numCache>
            </c:numRef>
          </c:xVal>
          <c:yVal>
            <c:numRef>
              <c:f>SPB!$AM$31:$AM$50</c:f>
              <c:numCache>
                <c:formatCode>0.00_)</c:formatCode>
                <c:ptCount val="20"/>
                <c:pt idx="0">
                  <c:v>0.30900917335114791</c:v>
                </c:pt>
                <c:pt idx="1">
                  <c:v>0.25906071969462091</c:v>
                </c:pt>
                <c:pt idx="2">
                  <c:v>0.26596364579184689</c:v>
                </c:pt>
                <c:pt idx="3">
                  <c:v>0.23939040592203417</c:v>
                </c:pt>
                <c:pt idx="4">
                  <c:v>0.24769768378869347</c:v>
                </c:pt>
                <c:pt idx="5">
                  <c:v>0.24769768378869347</c:v>
                </c:pt>
                <c:pt idx="6">
                  <c:v>0.232042603532157</c:v>
                </c:pt>
                <c:pt idx="7">
                  <c:v>0.24138758172371638</c:v>
                </c:pt>
                <c:pt idx="8">
                  <c:v>0.23179385453777335</c:v>
                </c:pt>
                <c:pt idx="9">
                  <c:v>0.24188934846351301</c:v>
                </c:pt>
                <c:pt idx="10">
                  <c:v>0.24188934846351301</c:v>
                </c:pt>
                <c:pt idx="11">
                  <c:v>0.23601397523956347</c:v>
                </c:pt>
                <c:pt idx="12">
                  <c:v>0.24664202042276492</c:v>
                </c:pt>
                <c:pt idx="13">
                  <c:v>0.24319914566533343</c:v>
                </c:pt>
                <c:pt idx="14">
                  <c:v>0.25419962222706605</c:v>
                </c:pt>
                <c:pt idx="15">
                  <c:v>0.25242247232367099</c:v>
                </c:pt>
                <c:pt idx="16">
                  <c:v>0.2636804137941608</c:v>
                </c:pt>
                <c:pt idx="17">
                  <c:v>0.26304232056069038</c:v>
                </c:pt>
                <c:pt idx="18">
                  <c:v>0.27247518014360761</c:v>
                </c:pt>
                <c:pt idx="19" formatCode="0.000">
                  <c:v>0.27247545606653484</c:v>
                </c:pt>
              </c:numCache>
            </c:numRef>
          </c:yVal>
        </c:ser>
        <c:ser>
          <c:idx val="3"/>
          <c:order val="3"/>
          <c:tx>
            <c:strRef>
              <c:f>SPB!$AO$20</c:f>
              <c:strCache>
                <c:ptCount val="1"/>
                <c:pt idx="0">
                  <c:v> Nutation</c:v>
                </c:pt>
              </c:strCache>
            </c:strRef>
          </c:tx>
          <c:spPr>
            <a:ln w="12700">
              <a:solidFill>
                <a:srgbClr val="333399"/>
              </a:solidFill>
              <a:prstDash val="solid"/>
            </a:ln>
          </c:spPr>
          <c:marker>
            <c:symbol val="x"/>
            <c:size val="5"/>
            <c:spPr>
              <a:noFill/>
              <a:ln>
                <a:solidFill>
                  <a:srgbClr val="333399"/>
                </a:solidFill>
                <a:prstDash val="solid"/>
              </a:ln>
            </c:spPr>
          </c:marker>
          <c:xVal>
            <c:numRef>
              <c:f>SPB!$C$31:$C$50</c:f>
              <c:numCache>
                <c:formatCode>General</c:formatCode>
                <c:ptCount val="20"/>
                <c:pt idx="0">
                  <c:v>10</c:v>
                </c:pt>
                <c:pt idx="1">
                  <c:v>15</c:v>
                </c:pt>
                <c:pt idx="2">
                  <c:v>15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25</c:v>
                </c:pt>
                <c:pt idx="7">
                  <c:v>25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35</c:v>
                </c:pt>
                <c:pt idx="12">
                  <c:v>35</c:v>
                </c:pt>
                <c:pt idx="13">
                  <c:v>40</c:v>
                </c:pt>
                <c:pt idx="14">
                  <c:v>40</c:v>
                </c:pt>
                <c:pt idx="15" formatCode="0">
                  <c:v>45</c:v>
                </c:pt>
                <c:pt idx="16" formatCode="0.00">
                  <c:v>45</c:v>
                </c:pt>
                <c:pt idx="17" formatCode="0.00">
                  <c:v>49.094999999999999</c:v>
                </c:pt>
                <c:pt idx="18" formatCode="0.00">
                  <c:v>49.094999999999999</c:v>
                </c:pt>
                <c:pt idx="19" formatCode="0.00">
                  <c:v>49.095123190246383</c:v>
                </c:pt>
              </c:numCache>
            </c:numRef>
          </c:xVal>
          <c:yVal>
            <c:numRef>
              <c:f>SPB!$AO$31:$AO$50</c:f>
              <c:numCache>
                <c:formatCode>0.00_)</c:formatCode>
                <c:ptCount val="20"/>
                <c:pt idx="0">
                  <c:v>0.21778407493152541</c:v>
                </c:pt>
                <c:pt idx="1">
                  <c:v>0.22052213460598957</c:v>
                </c:pt>
                <c:pt idx="2">
                  <c:v>0.22052213460598957</c:v>
                </c:pt>
                <c:pt idx="3">
                  <c:v>0.22353136211345603</c:v>
                </c:pt>
                <c:pt idx="4">
                  <c:v>0.22353136211345603</c:v>
                </c:pt>
                <c:pt idx="5">
                  <c:v>0.22353136211345603</c:v>
                </c:pt>
                <c:pt idx="6">
                  <c:v>0.22681710425152857</c:v>
                </c:pt>
                <c:pt idx="7">
                  <c:v>0.22681710425152857</c:v>
                </c:pt>
                <c:pt idx="8">
                  <c:v>0.23038059550164691</c:v>
                </c:pt>
                <c:pt idx="9">
                  <c:v>0.23038059550164691</c:v>
                </c:pt>
                <c:pt idx="10">
                  <c:v>0.23038059550164691</c:v>
                </c:pt>
                <c:pt idx="11">
                  <c:v>0.23422222645751489</c:v>
                </c:pt>
                <c:pt idx="12">
                  <c:v>0.23422222645751489</c:v>
                </c:pt>
                <c:pt idx="13">
                  <c:v>0.23834214032297707</c:v>
                </c:pt>
                <c:pt idx="14">
                  <c:v>0.23834214032297707</c:v>
                </c:pt>
                <c:pt idx="15">
                  <c:v>0.24274039110400225</c:v>
                </c:pt>
                <c:pt idx="16">
                  <c:v>0.24274039110400225</c:v>
                </c:pt>
                <c:pt idx="17">
                  <c:v>0.24654989905218194</c:v>
                </c:pt>
                <c:pt idx="18">
                  <c:v>0.24654989905218194</c:v>
                </c:pt>
                <c:pt idx="19">
                  <c:v>0.24655001646245234</c:v>
                </c:pt>
              </c:numCache>
            </c:numRef>
          </c:yVal>
        </c:ser>
        <c:ser>
          <c:idx val="4"/>
          <c:order val="4"/>
          <c:tx>
            <c:strRef>
              <c:f>SPB!$AN$19</c:f>
              <c:strCache>
                <c:ptCount val="1"/>
                <c:pt idx="0">
                  <c:v>Z Kick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Ref>
              <c:f>SPB!$C$31:$C$50</c:f>
              <c:numCache>
                <c:formatCode>General</c:formatCode>
                <c:ptCount val="20"/>
                <c:pt idx="0">
                  <c:v>10</c:v>
                </c:pt>
                <c:pt idx="1">
                  <c:v>15</c:v>
                </c:pt>
                <c:pt idx="2">
                  <c:v>15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25</c:v>
                </c:pt>
                <c:pt idx="7">
                  <c:v>25</c:v>
                </c:pt>
                <c:pt idx="8">
                  <c:v>30</c:v>
                </c:pt>
                <c:pt idx="9">
                  <c:v>30</c:v>
                </c:pt>
                <c:pt idx="10">
                  <c:v>30</c:v>
                </c:pt>
                <c:pt idx="11">
                  <c:v>35</c:v>
                </c:pt>
                <c:pt idx="12">
                  <c:v>35</c:v>
                </c:pt>
                <c:pt idx="13">
                  <c:v>40</c:v>
                </c:pt>
                <c:pt idx="14">
                  <c:v>40</c:v>
                </c:pt>
                <c:pt idx="15" formatCode="0">
                  <c:v>45</c:v>
                </c:pt>
                <c:pt idx="16" formatCode="0.00">
                  <c:v>45</c:v>
                </c:pt>
                <c:pt idx="17" formatCode="0.00">
                  <c:v>49.094999999999999</c:v>
                </c:pt>
                <c:pt idx="18" formatCode="0.00">
                  <c:v>49.094999999999999</c:v>
                </c:pt>
                <c:pt idx="19" formatCode="0.00">
                  <c:v>49.095123190246383</c:v>
                </c:pt>
              </c:numCache>
            </c:numRef>
          </c:xVal>
          <c:yVal>
            <c:numRef>
              <c:f>SPB!$AN$31:$AN$50</c:f>
              <c:numCache>
                <c:formatCode>0.00_)</c:formatCode>
                <c:ptCount val="20"/>
                <c:pt idx="0">
                  <c:v>3.4215445061188148</c:v>
                </c:pt>
                <c:pt idx="1">
                  <c:v>2.7235889010027865</c:v>
                </c:pt>
                <c:pt idx="2">
                  <c:v>2.3626958564442475</c:v>
                </c:pt>
                <c:pt idx="3">
                  <c:v>2.0537042504968901</c:v>
                </c:pt>
                <c:pt idx="4">
                  <c:v>1.8653003716233811</c:v>
                </c:pt>
                <c:pt idx="5">
                  <c:v>1.8653003716233811</c:v>
                </c:pt>
                <c:pt idx="6">
                  <c:v>1.700144583059777</c:v>
                </c:pt>
                <c:pt idx="7">
                  <c:v>1.5898633088386032</c:v>
                </c:pt>
                <c:pt idx="8">
                  <c:v>1.4916830133027117</c:v>
                </c:pt>
                <c:pt idx="9">
                  <c:v>1.4221805316905027</c:v>
                </c:pt>
                <c:pt idx="10">
                  <c:v>1.4221805316905027</c:v>
                </c:pt>
                <c:pt idx="11">
                  <c:v>1.3596026177654403</c:v>
                </c:pt>
                <c:pt idx="12">
                  <c:v>1.3134255796591114</c:v>
                </c:pt>
                <c:pt idx="13">
                  <c:v>1.2714735344330721</c:v>
                </c:pt>
                <c:pt idx="14">
                  <c:v>1.2395239545471797</c:v>
                </c:pt>
                <c:pt idx="15">
                  <c:v>1.2102768688803871</c:v>
                </c:pt>
                <c:pt idx="16">
                  <c:v>1.1874365960100701</c:v>
                </c:pt>
                <c:pt idx="17">
                  <c:v>1.1700538883858116</c:v>
                </c:pt>
                <c:pt idx="18">
                  <c:v>1.1556357103802883</c:v>
                </c:pt>
                <c:pt idx="19">
                  <c:v>1.1556348682512909</c:v>
                </c:pt>
              </c:numCache>
            </c:numRef>
          </c:yVal>
        </c:ser>
        <c:axId val="79541760"/>
        <c:axId val="79704448"/>
      </c:scatterChart>
      <c:valAx>
        <c:axId val="79541760"/>
        <c:scaling>
          <c:orientation val="minMax"/>
          <c:max val="50"/>
          <c:min val="10"/>
        </c:scaling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SPB Stroke (m)</a:t>
                </a:r>
              </a:p>
            </c:rich>
          </c:tx>
          <c:layout>
            <c:manualLayout>
              <c:xMode val="edge"/>
              <c:yMode val="edge"/>
              <c:x val="0.43290134187772"/>
              <c:y val="0.85665529010238983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704448"/>
        <c:crosses val="autoZero"/>
        <c:crossBetween val="midCat"/>
        <c:majorUnit val="10"/>
      </c:valAx>
      <c:valAx>
        <c:axId val="79704448"/>
        <c:scaling>
          <c:orientation val="minMax"/>
          <c:max val="1.25"/>
        </c:scaling>
        <c:axPos val="l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HARMONIC RATIO</a:t>
                </a:r>
              </a:p>
            </c:rich>
          </c:tx>
          <c:layout>
            <c:manualLayout>
              <c:xMode val="edge"/>
              <c:yMode val="edge"/>
              <c:x val="1.0822510822510827E-2"/>
              <c:y val="0.29351535836177478"/>
            </c:manualLayout>
          </c:layout>
          <c:spPr>
            <a:noFill/>
            <a:ln w="25400">
              <a:noFill/>
            </a:ln>
          </c:spPr>
        </c:title>
        <c:numFmt formatCode="0.00_)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9541760"/>
        <c:crosses val="autoZero"/>
        <c:crossBetween val="midCat"/>
        <c:majorUnit val="0.25"/>
        <c:minorUnit val="0.0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7099612548431456"/>
          <c:y val="0.9112627986348123"/>
          <c:w val="0.7272743179829797"/>
          <c:h val="7.5085324232081932E-2"/>
        </c:manualLayout>
      </c:layout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44" r="0.75000000000000044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emf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jpeg"/><Relationship Id="rId7" Type="http://schemas.openxmlformats.org/officeDocument/2006/relationships/image" Target="../media/image9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5" Type="http://schemas.openxmlformats.org/officeDocument/2006/relationships/image" Target="../media/image7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13.png"/><Relationship Id="rId1" Type="http://schemas.openxmlformats.org/officeDocument/2006/relationships/image" Target="../media/image12.png"/><Relationship Id="rId6" Type="http://schemas.openxmlformats.org/officeDocument/2006/relationships/image" Target="../media/image14.png"/><Relationship Id="rId5" Type="http://schemas.openxmlformats.org/officeDocument/2006/relationships/image" Target="../media/image5.jpeg"/><Relationship Id="rId4" Type="http://schemas.openxmlformats.org/officeDocument/2006/relationships/image" Target="../media/image4.png"/><Relationship Id="rId9" Type="http://schemas.openxmlformats.org/officeDocument/2006/relationships/image" Target="../media/image1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38100</xdr:colOff>
      <xdr:row>0</xdr:row>
      <xdr:rowOff>19050</xdr:rowOff>
    </xdr:from>
    <xdr:to>
      <xdr:col>37</xdr:col>
      <xdr:colOff>247650</xdr:colOff>
      <xdr:row>16</xdr:row>
      <xdr:rowOff>142875</xdr:rowOff>
    </xdr:to>
    <xdr:graphicFrame macro="">
      <xdr:nvGraphicFramePr>
        <xdr:cNvPr id="1230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41</xdr:col>
      <xdr:colOff>342900</xdr:colOff>
      <xdr:row>20</xdr:row>
      <xdr:rowOff>0</xdr:rowOff>
    </xdr:from>
    <xdr:to>
      <xdr:col>51</xdr:col>
      <xdr:colOff>95250</xdr:colOff>
      <xdr:row>47</xdr:row>
      <xdr:rowOff>0</xdr:rowOff>
    </xdr:to>
    <xdr:pic>
      <xdr:nvPicPr>
        <xdr:cNvPr id="12309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49600" y="3333750"/>
          <a:ext cx="3562350" cy="444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209550</xdr:colOff>
      <xdr:row>16</xdr:row>
      <xdr:rowOff>28575</xdr:rowOff>
    </xdr:from>
    <xdr:to>
      <xdr:col>14</xdr:col>
      <xdr:colOff>542925</xdr:colOff>
      <xdr:row>25</xdr:row>
      <xdr:rowOff>152400</xdr:rowOff>
    </xdr:to>
    <xdr:sp macro="" textlink="">
      <xdr:nvSpPr>
        <xdr:cNvPr id="17409" name="WordArt 1"/>
        <xdr:cNvSpPr>
          <a:spLocks noChangeArrowheads="1" noChangeShapeType="1" noTextEdit="1"/>
        </xdr:cNvSpPr>
      </xdr:nvSpPr>
      <xdr:spPr bwMode="auto">
        <a:xfrm>
          <a:off x="5086350" y="2714625"/>
          <a:ext cx="3990975" cy="1581150"/>
        </a:xfrm>
        <a:prstGeom prst="rect">
          <a:avLst/>
        </a:prstGeom>
      </xdr:spPr>
      <xdr:txBody>
        <a:bodyPr wrap="none" fromWordArt="1">
          <a:prstTxWarp prst="textSlantUp">
            <a:avLst>
              <a:gd name="adj" fmla="val 32056"/>
            </a:avLst>
          </a:prstTxWarp>
        </a:bodyPr>
        <a:lstStyle/>
        <a:p>
          <a:pPr algn="ctr" rtl="0">
            <a:buNone/>
          </a:pPr>
          <a:r>
            <a:rPr lang="en-US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FF0000"/>
              </a:solidFill>
              <a:effectLst>
                <a:outerShdw dist="53882" dir="2700000" algn="ctr" rotWithShape="0">
                  <a:srgbClr val="9999FF">
                    <a:alpha val="80000"/>
                  </a:srgbClr>
                </a:outerShdw>
              </a:effectLst>
              <a:latin typeface="Impact"/>
            </a:rPr>
            <a:t>Obsolete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152400</xdr:colOff>
      <xdr:row>28</xdr:row>
      <xdr:rowOff>95250</xdr:rowOff>
    </xdr:from>
    <xdr:to>
      <xdr:col>14</xdr:col>
      <xdr:colOff>180975</xdr:colOff>
      <xdr:row>31</xdr:row>
      <xdr:rowOff>142875</xdr:rowOff>
    </xdr:to>
    <xdr:sp macro="" textlink="">
      <xdr:nvSpPr>
        <xdr:cNvPr id="16401" name="Text Box 17"/>
        <xdr:cNvSpPr txBox="1">
          <a:spLocks noChangeArrowheads="1"/>
        </xdr:cNvSpPr>
      </xdr:nvSpPr>
      <xdr:spPr bwMode="auto">
        <a:xfrm>
          <a:off x="6715125" y="4876800"/>
          <a:ext cx="3686175" cy="5334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Harness Length (A&amp;B):</a:t>
          </a:r>
        </a:p>
        <a:p>
          <a:pPr algn="l" rtl="0">
            <a:lnSpc>
              <a:spcPts val="13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IDPU to Connector Bulkhead-A =  2.29m (90.086in)</a:t>
          </a:r>
        </a:p>
        <a:p>
          <a:pPr algn="l" rtl="0">
            <a:lnSpc>
              <a:spcPts val="1100"/>
            </a:lnSpc>
            <a:defRPr sz="1000"/>
          </a:pPr>
          <a:endParaRPr lang="en-US"/>
        </a:p>
      </xdr:txBody>
    </xdr:sp>
    <xdr:clientData/>
  </xdr:twoCellAnchor>
  <xdr:twoCellAnchor editAs="oneCell">
    <xdr:from>
      <xdr:col>16</xdr:col>
      <xdr:colOff>57150</xdr:colOff>
      <xdr:row>66</xdr:row>
      <xdr:rowOff>76200</xdr:rowOff>
    </xdr:from>
    <xdr:to>
      <xdr:col>23</xdr:col>
      <xdr:colOff>257175</xdr:colOff>
      <xdr:row>68</xdr:row>
      <xdr:rowOff>171450</xdr:rowOff>
    </xdr:to>
    <xdr:sp macro="" textlink="">
      <xdr:nvSpPr>
        <xdr:cNvPr id="16426" name="Text Box 42"/>
        <xdr:cNvSpPr txBox="1">
          <a:spLocks noChangeArrowheads="1"/>
        </xdr:cNvSpPr>
      </xdr:nvSpPr>
      <xdr:spPr bwMode="auto">
        <a:xfrm>
          <a:off x="11496675" y="11210925"/>
          <a:ext cx="4467225" cy="4857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Harness Length (B):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Connector Bulkhead-A to Bulkhead-B (FWD) = 1.64m[64.600in]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Bulkhead-B to FWD AXB No.5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JB = 0.504m[19.850in]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JC = 0.402m[15.811in]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JD = 0.351m[13.800in]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JD to JA = 0.378m[14.864in] </a:t>
          </a:r>
        </a:p>
        <a:p>
          <a:pPr algn="l" rtl="0">
            <a:defRPr sz="1000"/>
          </a:pPr>
          <a:endParaRPr lang="en-US"/>
        </a:p>
      </xdr:txBody>
    </xdr:sp>
    <xdr:clientData/>
  </xdr:twoCellAnchor>
  <xdr:twoCellAnchor>
    <xdr:from>
      <xdr:col>8</xdr:col>
      <xdr:colOff>38100</xdr:colOff>
      <xdr:row>141</xdr:row>
      <xdr:rowOff>133350</xdr:rowOff>
    </xdr:from>
    <xdr:to>
      <xdr:col>13</xdr:col>
      <xdr:colOff>504825</xdr:colOff>
      <xdr:row>162</xdr:row>
      <xdr:rowOff>47625</xdr:rowOff>
    </xdr:to>
    <xdr:grpSp>
      <xdr:nvGrpSpPr>
        <xdr:cNvPr id="16927" name="Group 52"/>
        <xdr:cNvGrpSpPr>
          <a:grpSpLocks/>
        </xdr:cNvGrpSpPr>
      </xdr:nvGrpSpPr>
      <xdr:grpSpPr bwMode="auto">
        <a:xfrm>
          <a:off x="6600825" y="23993475"/>
          <a:ext cx="3514725" cy="3314700"/>
          <a:chOff x="3360" y="720"/>
          <a:chExt cx="2112" cy="2112"/>
        </a:xfrm>
      </xdr:grpSpPr>
      <xdr:pic>
        <xdr:nvPicPr>
          <xdr:cNvPr id="16988" name="Picture 53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 l="45406" t="19524" r="14774" b="21048"/>
          <a:stretch>
            <a:fillRect/>
          </a:stretch>
        </xdr:blipFill>
        <xdr:spPr bwMode="auto">
          <a:xfrm>
            <a:off x="3360" y="720"/>
            <a:ext cx="2112" cy="2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</xdr:pic>
      <xdr:sp macro="" textlink="">
        <xdr:nvSpPr>
          <xdr:cNvPr id="16438" name="Text Box 54"/>
          <xdr:cNvSpPr txBox="1">
            <a:spLocks noChangeArrowheads="1"/>
          </xdr:cNvSpPr>
        </xdr:nvSpPr>
        <xdr:spPr bwMode="auto">
          <a:xfrm>
            <a:off x="4058" y="1594"/>
            <a:ext cx="229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JA</a:t>
            </a:r>
          </a:p>
          <a:p>
            <a:pPr algn="l" rtl="0">
              <a:lnSpc>
                <a:spcPts val="1000"/>
              </a:lnSpc>
              <a:defRPr sz="1000"/>
            </a:pPr>
            <a:endParaRPr lang="en-US"/>
          </a:p>
        </xdr:txBody>
      </xdr:sp>
      <xdr:sp macro="" textlink="">
        <xdr:nvSpPr>
          <xdr:cNvPr id="16439" name="Text Box 55"/>
          <xdr:cNvSpPr txBox="1">
            <a:spLocks noChangeArrowheads="1"/>
          </xdr:cNvSpPr>
        </xdr:nvSpPr>
        <xdr:spPr bwMode="auto">
          <a:xfrm>
            <a:off x="4436" y="1327"/>
            <a:ext cx="229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JB</a:t>
            </a:r>
          </a:p>
          <a:p>
            <a:pPr algn="l" rtl="0">
              <a:lnSpc>
                <a:spcPts val="1000"/>
              </a:lnSpc>
              <a:defRPr sz="1000"/>
            </a:pPr>
            <a:endParaRPr lang="en-US"/>
          </a:p>
        </xdr:txBody>
      </xdr:sp>
      <xdr:sp macro="" textlink="">
        <xdr:nvSpPr>
          <xdr:cNvPr id="16440" name="Text Box 56"/>
          <xdr:cNvSpPr txBox="1">
            <a:spLocks noChangeArrowheads="1"/>
          </xdr:cNvSpPr>
        </xdr:nvSpPr>
        <xdr:spPr bwMode="auto">
          <a:xfrm>
            <a:off x="4419" y="1970"/>
            <a:ext cx="229" cy="1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JD</a:t>
            </a:r>
          </a:p>
          <a:p>
            <a:pPr algn="l" rtl="0">
              <a:lnSpc>
                <a:spcPts val="1000"/>
              </a:lnSpc>
              <a:defRPr sz="1000"/>
            </a:pPr>
            <a:endParaRPr lang="en-US"/>
          </a:p>
        </xdr:txBody>
      </xdr:sp>
      <xdr:sp macro="" textlink="">
        <xdr:nvSpPr>
          <xdr:cNvPr id="16441" name="Text Box 57"/>
          <xdr:cNvSpPr txBox="1">
            <a:spLocks noChangeArrowheads="1"/>
          </xdr:cNvSpPr>
        </xdr:nvSpPr>
        <xdr:spPr bwMode="auto">
          <a:xfrm>
            <a:off x="4705" y="1727"/>
            <a:ext cx="235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JC</a:t>
            </a:r>
          </a:p>
          <a:p>
            <a:pPr algn="l" rtl="0">
              <a:lnSpc>
                <a:spcPts val="1000"/>
              </a:lnSpc>
              <a:defRPr sz="1000"/>
            </a:pPr>
            <a:endParaRPr lang="en-US"/>
          </a:p>
        </xdr:txBody>
      </xdr:sp>
    </xdr:grpSp>
    <xdr:clientData/>
  </xdr:twoCellAnchor>
  <xdr:twoCellAnchor editAs="oneCell">
    <xdr:from>
      <xdr:col>7</xdr:col>
      <xdr:colOff>581025</xdr:colOff>
      <xdr:row>165</xdr:row>
      <xdr:rowOff>152400</xdr:rowOff>
    </xdr:from>
    <xdr:to>
      <xdr:col>13</xdr:col>
      <xdr:colOff>47625</xdr:colOff>
      <xdr:row>171</xdr:row>
      <xdr:rowOff>66675</xdr:rowOff>
    </xdr:to>
    <xdr:sp macro="" textlink="">
      <xdr:nvSpPr>
        <xdr:cNvPr id="16442" name="Text Box 58"/>
        <xdr:cNvSpPr txBox="1">
          <a:spLocks noChangeArrowheads="1"/>
        </xdr:cNvSpPr>
      </xdr:nvSpPr>
      <xdr:spPr bwMode="auto">
        <a:xfrm>
          <a:off x="6534150" y="27898725"/>
          <a:ext cx="3124200" cy="10477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500"/>
            </a:lnSpc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Harness Length (A&amp;B):</a:t>
          </a:r>
        </a:p>
        <a:p>
          <a:pPr algn="l" rtl="0">
            <a:lnSpc>
              <a:spcPts val="13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Bulkhead-C to AFT AXB No.6</a:t>
          </a:r>
        </a:p>
        <a:p>
          <a:pPr algn="l" rtl="0">
            <a:lnSpc>
              <a:spcPts val="13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JB = 0.356m[14.020in]</a:t>
          </a:r>
        </a:p>
        <a:p>
          <a:pPr algn="l" rtl="0">
            <a:lnSpc>
              <a:spcPts val="13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JD = 0.404m[15.897in]</a:t>
          </a:r>
        </a:p>
        <a:p>
          <a:pPr algn="l" rtl="0">
            <a:lnSpc>
              <a:spcPts val="13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JD to JA = 0.395m[15.556in] </a:t>
          </a:r>
        </a:p>
        <a:p>
          <a:pPr algn="l" rtl="0">
            <a:lnSpc>
              <a:spcPts val="1100"/>
            </a:lnSpc>
            <a:defRPr sz="1000"/>
          </a:pPr>
          <a:endParaRPr lang="en-US"/>
        </a:p>
      </xdr:txBody>
    </xdr:sp>
    <xdr:clientData/>
  </xdr:twoCellAnchor>
  <xdr:twoCellAnchor editAs="oneCell">
    <xdr:from>
      <xdr:col>8</xdr:col>
      <xdr:colOff>38100</xdr:colOff>
      <xdr:row>135</xdr:row>
      <xdr:rowOff>19050</xdr:rowOff>
    </xdr:from>
    <xdr:to>
      <xdr:col>12</xdr:col>
      <xdr:colOff>352425</xdr:colOff>
      <xdr:row>141</xdr:row>
      <xdr:rowOff>19050</xdr:rowOff>
    </xdr:to>
    <xdr:sp macro="" textlink="">
      <xdr:nvSpPr>
        <xdr:cNvPr id="16444" name="Text Box 60"/>
        <xdr:cNvSpPr txBox="1">
          <a:spLocks noChangeArrowheads="1"/>
        </xdr:cNvSpPr>
      </xdr:nvSpPr>
      <xdr:spPr bwMode="auto">
        <a:xfrm>
          <a:off x="6600825" y="22745700"/>
          <a:ext cx="2752725" cy="11334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Harness Length (A&amp;B):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Bulkhead-B to FWD AXB No.5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JB = 0.504m[19.850in]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JD = 0.351m[13.800in]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JD to JA = 0.378m[14.864in] </a:t>
          </a:r>
        </a:p>
        <a:p>
          <a:pPr algn="l" rtl="0">
            <a:defRPr sz="1000"/>
          </a:pPr>
          <a:endParaRPr lang="en-US"/>
        </a:p>
      </xdr:txBody>
    </xdr:sp>
    <xdr:clientData/>
  </xdr:twoCellAnchor>
  <xdr:twoCellAnchor>
    <xdr:from>
      <xdr:col>8</xdr:col>
      <xdr:colOff>9525</xdr:colOff>
      <xdr:row>173</xdr:row>
      <xdr:rowOff>0</xdr:rowOff>
    </xdr:from>
    <xdr:to>
      <xdr:col>13</xdr:col>
      <xdr:colOff>457200</xdr:colOff>
      <xdr:row>192</xdr:row>
      <xdr:rowOff>133350</xdr:rowOff>
    </xdr:to>
    <xdr:grpSp>
      <xdr:nvGrpSpPr>
        <xdr:cNvPr id="16930" name="Group 61"/>
        <xdr:cNvGrpSpPr>
          <a:grpSpLocks/>
        </xdr:cNvGrpSpPr>
      </xdr:nvGrpSpPr>
      <xdr:grpSpPr bwMode="auto">
        <a:xfrm>
          <a:off x="6572250" y="29203650"/>
          <a:ext cx="3495675" cy="3209925"/>
          <a:chOff x="3408" y="768"/>
          <a:chExt cx="2112" cy="1924"/>
        </a:xfrm>
      </xdr:grpSpPr>
      <xdr:pic>
        <xdr:nvPicPr>
          <xdr:cNvPr id="16983" name="Picture 62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l="30600" t="18762" r="17836" b="11143"/>
          <a:stretch>
            <a:fillRect/>
          </a:stretch>
        </xdr:blipFill>
        <xdr:spPr bwMode="auto">
          <a:xfrm>
            <a:off x="3408" y="768"/>
            <a:ext cx="2112" cy="19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</xdr:pic>
      <xdr:sp macro="" textlink="">
        <xdr:nvSpPr>
          <xdr:cNvPr id="16447" name="Text Box 63"/>
          <xdr:cNvSpPr txBox="1">
            <a:spLocks noChangeArrowheads="1"/>
          </xdr:cNvSpPr>
        </xdr:nvSpPr>
        <xdr:spPr bwMode="auto">
          <a:xfrm>
            <a:off x="4018" y="1699"/>
            <a:ext cx="224" cy="17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JA</a:t>
            </a:r>
          </a:p>
          <a:p>
            <a:pPr algn="l" rtl="0">
              <a:lnSpc>
                <a:spcPts val="1000"/>
              </a:lnSpc>
              <a:defRPr sz="1000"/>
            </a:pPr>
            <a:endParaRPr lang="en-US"/>
          </a:p>
        </xdr:txBody>
      </xdr:sp>
      <xdr:sp macro="" textlink="">
        <xdr:nvSpPr>
          <xdr:cNvPr id="16448" name="Text Box 64"/>
          <xdr:cNvSpPr txBox="1">
            <a:spLocks noChangeArrowheads="1"/>
          </xdr:cNvSpPr>
        </xdr:nvSpPr>
        <xdr:spPr bwMode="auto">
          <a:xfrm>
            <a:off x="4501" y="1333"/>
            <a:ext cx="230" cy="17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JB</a:t>
            </a:r>
          </a:p>
          <a:p>
            <a:pPr algn="l" rtl="0">
              <a:lnSpc>
                <a:spcPts val="1000"/>
              </a:lnSpc>
              <a:defRPr sz="1000"/>
            </a:pPr>
            <a:endParaRPr lang="en-US"/>
          </a:p>
        </xdr:txBody>
      </xdr:sp>
      <xdr:sp macro="" textlink="">
        <xdr:nvSpPr>
          <xdr:cNvPr id="16449" name="Text Box 65"/>
          <xdr:cNvSpPr txBox="1">
            <a:spLocks noChangeArrowheads="1"/>
          </xdr:cNvSpPr>
        </xdr:nvSpPr>
        <xdr:spPr bwMode="auto">
          <a:xfrm>
            <a:off x="4524" y="2172"/>
            <a:ext cx="236" cy="1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JD</a:t>
            </a:r>
          </a:p>
          <a:p>
            <a:pPr algn="l" rtl="0">
              <a:lnSpc>
                <a:spcPts val="1000"/>
              </a:lnSpc>
              <a:defRPr sz="1000"/>
            </a:pPr>
            <a:endParaRPr lang="en-US"/>
          </a:p>
        </xdr:txBody>
      </xdr:sp>
      <xdr:sp macro="" textlink="">
        <xdr:nvSpPr>
          <xdr:cNvPr id="16450" name="Text Box 66"/>
          <xdr:cNvSpPr txBox="1">
            <a:spLocks noChangeArrowheads="1"/>
          </xdr:cNvSpPr>
        </xdr:nvSpPr>
        <xdr:spPr bwMode="auto">
          <a:xfrm>
            <a:off x="4881" y="1887"/>
            <a:ext cx="236" cy="17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JC</a:t>
            </a:r>
          </a:p>
          <a:p>
            <a:pPr algn="l" rtl="0">
              <a:lnSpc>
                <a:spcPts val="1000"/>
              </a:lnSpc>
              <a:defRPr sz="1000"/>
            </a:pPr>
            <a:endParaRPr lang="en-US"/>
          </a:p>
        </xdr:txBody>
      </xdr:sp>
    </xdr:grpSp>
    <xdr:clientData/>
  </xdr:twoCellAnchor>
  <xdr:oneCellAnchor>
    <xdr:from>
      <xdr:col>8</xdr:col>
      <xdr:colOff>19050</xdr:colOff>
      <xdr:row>195</xdr:row>
      <xdr:rowOff>19050</xdr:rowOff>
    </xdr:from>
    <xdr:ext cx="2892523" cy="1106713"/>
    <xdr:sp macro="" textlink="">
      <xdr:nvSpPr>
        <xdr:cNvPr id="16463" name="Text Box 79"/>
        <xdr:cNvSpPr txBox="1">
          <a:spLocks noChangeArrowheads="1"/>
        </xdr:cNvSpPr>
      </xdr:nvSpPr>
      <xdr:spPr bwMode="auto">
        <a:xfrm>
          <a:off x="6581775" y="32785050"/>
          <a:ext cx="2892523" cy="110671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Harness Length (A&amp;B):</a:t>
          </a:r>
        </a:p>
        <a:p>
          <a:pPr algn="l" rtl="0">
            <a:lnSpc>
              <a:spcPts val="13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IDPU to SPB No.1 = 2.937m[115.622in]</a:t>
          </a:r>
        </a:p>
        <a:p>
          <a:pPr algn="l" rtl="0">
            <a:lnSpc>
              <a:spcPts val="13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SPB No.2 = 3.206m[126.235in]</a:t>
          </a:r>
        </a:p>
        <a:p>
          <a:pPr algn="l" rtl="0">
            <a:lnSpc>
              <a:spcPts val="13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SPB No.3 = 3.828m[150.700in]</a:t>
          </a:r>
        </a:p>
        <a:p>
          <a:pPr algn="l" rtl="0">
            <a:lnSpc>
              <a:spcPts val="13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SPB No.4 = 2.305m[90.762in] </a:t>
          </a:r>
        </a:p>
        <a:p>
          <a:pPr algn="l" rtl="0">
            <a:lnSpc>
              <a:spcPts val="1100"/>
            </a:lnSpc>
            <a:defRPr sz="1000"/>
          </a:pPr>
          <a:endParaRPr lang="en-US"/>
        </a:p>
      </xdr:txBody>
    </xdr:sp>
    <xdr:clientData/>
  </xdr:oneCellAnchor>
  <xdr:twoCellAnchor>
    <xdr:from>
      <xdr:col>7</xdr:col>
      <xdr:colOff>209550</xdr:colOff>
      <xdr:row>244</xdr:row>
      <xdr:rowOff>104775</xdr:rowOff>
    </xdr:from>
    <xdr:to>
      <xdr:col>16</xdr:col>
      <xdr:colOff>390525</xdr:colOff>
      <xdr:row>277</xdr:row>
      <xdr:rowOff>123825</xdr:rowOff>
    </xdr:to>
    <xdr:grpSp>
      <xdr:nvGrpSpPr>
        <xdr:cNvPr id="16932" name="Group 80"/>
        <xdr:cNvGrpSpPr>
          <a:grpSpLocks/>
        </xdr:cNvGrpSpPr>
      </xdr:nvGrpSpPr>
      <xdr:grpSpPr bwMode="auto">
        <a:xfrm>
          <a:off x="6162675" y="40805100"/>
          <a:ext cx="5667375" cy="5362575"/>
          <a:chOff x="928" y="240"/>
          <a:chExt cx="3570" cy="3888"/>
        </a:xfrm>
      </xdr:grpSpPr>
      <xdr:pic>
        <xdr:nvPicPr>
          <xdr:cNvPr id="16975" name="Picture 81" descr="rbsp-l_spacecraft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 l="12909" t="6706" r="24303" b="4823"/>
          <a:stretch>
            <a:fillRect/>
          </a:stretch>
        </xdr:blipFill>
        <xdr:spPr bwMode="auto">
          <a:xfrm>
            <a:off x="928" y="240"/>
            <a:ext cx="3570" cy="388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grpSp>
        <xdr:nvGrpSpPr>
          <xdr:cNvPr id="16976" name="Group 82"/>
          <xdr:cNvGrpSpPr>
            <a:grpSpLocks/>
          </xdr:cNvGrpSpPr>
        </xdr:nvGrpSpPr>
        <xdr:grpSpPr bwMode="auto">
          <a:xfrm>
            <a:off x="1584" y="1104"/>
            <a:ext cx="2208" cy="1152"/>
            <a:chOff x="1584" y="1104"/>
            <a:chExt cx="2208" cy="1152"/>
          </a:xfrm>
        </xdr:grpSpPr>
        <xdr:sp macro="" textlink="">
          <xdr:nvSpPr>
            <xdr:cNvPr id="16977" name="Line 83"/>
            <xdr:cNvSpPr>
              <a:spLocks noChangeShapeType="1"/>
            </xdr:cNvSpPr>
          </xdr:nvSpPr>
          <xdr:spPr bwMode="auto">
            <a:xfrm flipH="1">
              <a:off x="1584" y="1104"/>
              <a:ext cx="144" cy="0"/>
            </a:xfrm>
            <a:prstGeom prst="line">
              <a:avLst/>
            </a:prstGeom>
            <a:noFill/>
            <a:ln w="38100">
              <a:solidFill>
                <a:srgbClr val="CC3300"/>
              </a:solidFill>
              <a:prstDash val="lgDashDotDot"/>
              <a:round/>
              <a:headEnd/>
              <a:tailEnd/>
            </a:ln>
          </xdr:spPr>
        </xdr:sp>
        <xdr:sp macro="" textlink="">
          <xdr:nvSpPr>
            <xdr:cNvPr id="16978" name="Line 84"/>
            <xdr:cNvSpPr>
              <a:spLocks noChangeShapeType="1"/>
            </xdr:cNvSpPr>
          </xdr:nvSpPr>
          <xdr:spPr bwMode="auto">
            <a:xfrm>
              <a:off x="1584" y="1104"/>
              <a:ext cx="0" cy="933"/>
            </a:xfrm>
            <a:prstGeom prst="line">
              <a:avLst/>
            </a:prstGeom>
            <a:noFill/>
            <a:ln w="38100">
              <a:solidFill>
                <a:srgbClr val="CC3300"/>
              </a:solidFill>
              <a:prstDash val="lgDashDotDot"/>
              <a:round/>
              <a:headEnd/>
              <a:tailEnd/>
            </a:ln>
          </xdr:spPr>
        </xdr:sp>
        <xdr:sp macro="" textlink="">
          <xdr:nvSpPr>
            <xdr:cNvPr id="16979" name="Line 85"/>
            <xdr:cNvSpPr>
              <a:spLocks noChangeShapeType="1"/>
            </xdr:cNvSpPr>
          </xdr:nvSpPr>
          <xdr:spPr bwMode="auto">
            <a:xfrm>
              <a:off x="1584" y="2040"/>
              <a:ext cx="528" cy="0"/>
            </a:xfrm>
            <a:prstGeom prst="line">
              <a:avLst/>
            </a:prstGeom>
            <a:noFill/>
            <a:ln w="38100">
              <a:solidFill>
                <a:srgbClr val="CC3300"/>
              </a:solidFill>
              <a:prstDash val="lgDashDotDot"/>
              <a:round/>
              <a:headEnd/>
              <a:tailEnd/>
            </a:ln>
          </xdr:spPr>
        </xdr:sp>
        <xdr:sp macro="" textlink="">
          <xdr:nvSpPr>
            <xdr:cNvPr id="16980" name="Line 86"/>
            <xdr:cNvSpPr>
              <a:spLocks noChangeShapeType="1"/>
            </xdr:cNvSpPr>
          </xdr:nvSpPr>
          <xdr:spPr bwMode="auto">
            <a:xfrm>
              <a:off x="2112" y="2040"/>
              <a:ext cx="384" cy="216"/>
            </a:xfrm>
            <a:prstGeom prst="line">
              <a:avLst/>
            </a:prstGeom>
            <a:noFill/>
            <a:ln w="38100">
              <a:solidFill>
                <a:srgbClr val="CC3300"/>
              </a:solidFill>
              <a:prstDash val="lgDashDotDot"/>
              <a:round/>
              <a:headEnd/>
              <a:tailEnd/>
            </a:ln>
          </xdr:spPr>
        </xdr:sp>
        <xdr:sp macro="" textlink="">
          <xdr:nvSpPr>
            <xdr:cNvPr id="16981" name="Line 87"/>
            <xdr:cNvSpPr>
              <a:spLocks noChangeShapeType="1"/>
            </xdr:cNvSpPr>
          </xdr:nvSpPr>
          <xdr:spPr bwMode="auto">
            <a:xfrm>
              <a:off x="2496" y="2256"/>
              <a:ext cx="1296" cy="0"/>
            </a:xfrm>
            <a:prstGeom prst="line">
              <a:avLst/>
            </a:prstGeom>
            <a:noFill/>
            <a:ln w="38100">
              <a:solidFill>
                <a:srgbClr val="CC3300"/>
              </a:solidFill>
              <a:prstDash val="lgDashDotDot"/>
              <a:round/>
              <a:headEnd/>
              <a:tailEnd/>
            </a:ln>
          </xdr:spPr>
        </xdr:sp>
        <xdr:sp macro="" textlink="">
          <xdr:nvSpPr>
            <xdr:cNvPr id="16982" name="Line 88"/>
            <xdr:cNvSpPr>
              <a:spLocks noChangeShapeType="1"/>
            </xdr:cNvSpPr>
          </xdr:nvSpPr>
          <xdr:spPr bwMode="auto">
            <a:xfrm flipV="1">
              <a:off x="3792" y="2112"/>
              <a:ext cx="0" cy="144"/>
            </a:xfrm>
            <a:prstGeom prst="line">
              <a:avLst/>
            </a:prstGeom>
            <a:noFill/>
            <a:ln w="38100">
              <a:solidFill>
                <a:srgbClr val="CC3300"/>
              </a:solidFill>
              <a:prstDash val="lgDashDotDot"/>
              <a:round/>
              <a:headEnd/>
              <a:tailEnd/>
            </a:ln>
          </xdr:spPr>
        </xdr:sp>
      </xdr:grpSp>
    </xdr:grpSp>
    <xdr:clientData/>
  </xdr:twoCellAnchor>
  <xdr:oneCellAnchor>
    <xdr:from>
      <xdr:col>8</xdr:col>
      <xdr:colOff>66675</xdr:colOff>
      <xdr:row>240</xdr:row>
      <xdr:rowOff>76200</xdr:rowOff>
    </xdr:from>
    <xdr:ext cx="2888932" cy="607923"/>
    <xdr:sp macro="" textlink="">
      <xdr:nvSpPr>
        <xdr:cNvPr id="16473" name="Text Box 89"/>
        <xdr:cNvSpPr txBox="1">
          <a:spLocks noChangeArrowheads="1"/>
        </xdr:cNvSpPr>
      </xdr:nvSpPr>
      <xdr:spPr bwMode="auto">
        <a:xfrm>
          <a:off x="6629400" y="40128825"/>
          <a:ext cx="2888932" cy="60792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1400"/>
            </a:lnSpc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Approximate Cable Length (A&amp;B):</a:t>
          </a:r>
        </a:p>
        <a:p>
          <a:pPr algn="l" rtl="0">
            <a:lnSpc>
              <a:spcPts val="1400"/>
            </a:lnSpc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1.02m[40.00]</a:t>
          </a:r>
        </a:p>
        <a:p>
          <a:pPr algn="l" rtl="0">
            <a:defRPr sz="1000"/>
          </a:pPr>
          <a:endParaRPr lang="en-US"/>
        </a:p>
      </xdr:txBody>
    </xdr:sp>
    <xdr:clientData/>
  </xdr:oneCellAnchor>
  <xdr:twoCellAnchor editAs="oneCell">
    <xdr:from>
      <xdr:col>6</xdr:col>
      <xdr:colOff>304800</xdr:colOff>
      <xdr:row>67</xdr:row>
      <xdr:rowOff>0</xdr:rowOff>
    </xdr:from>
    <xdr:to>
      <xdr:col>14</xdr:col>
      <xdr:colOff>161925</xdr:colOff>
      <xdr:row>69</xdr:row>
      <xdr:rowOff>95250</xdr:rowOff>
    </xdr:to>
    <xdr:sp macro="" textlink="">
      <xdr:nvSpPr>
        <xdr:cNvPr id="16485" name="Rectangle 101"/>
        <xdr:cNvSpPr>
          <a:spLocks noChangeArrowheads="1"/>
        </xdr:cNvSpPr>
      </xdr:nvSpPr>
      <xdr:spPr bwMode="auto">
        <a:xfrm>
          <a:off x="5648325" y="11296650"/>
          <a:ext cx="4733925" cy="5143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Harness Length (A):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Connector Bulkhead-A to Bulkhead-B1 (FWD) = </a:t>
          </a:r>
          <a:r>
            <a:rPr lang="en-US" sz="1200" b="0" i="0" u="none" strike="noStrike" baseline="0">
              <a:solidFill>
                <a:srgbClr val="800000"/>
              </a:solidFill>
              <a:latin typeface="Arial"/>
              <a:cs typeface="Arial"/>
            </a:rPr>
            <a:t>1.51m[59.377in]</a:t>
          </a:r>
          <a:endParaRPr lang="en-US" sz="800" b="0" i="0" u="none" strike="noStrike" baseline="0">
            <a:solidFill>
              <a:srgbClr val="8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Bulkhead-B1 to FWD AXB No.5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JB = 0.504m[19.850in]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JC = 0.402m[15.811in]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JD = 0.351m[13.800in]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JD to JA = 0.378m[14.864in]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800000"/>
              </a:solidFill>
              <a:latin typeface="Arial"/>
              <a:cs typeface="Arial"/>
            </a:rPr>
            <a:t>Harness running between AXB No. 5 and Bulkhead–B1 remain the same for S/C –A and S/C –B.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800000"/>
              </a:solidFill>
              <a:latin typeface="Arial"/>
              <a:cs typeface="Arial"/>
            </a:rPr>
            <a:t>Axial deck assembly is rotated making harness lengths different.</a:t>
          </a:r>
        </a:p>
        <a:p>
          <a:pPr algn="l" rtl="0">
            <a:defRPr sz="1000"/>
          </a:pPr>
          <a:endParaRPr lang="en-US"/>
        </a:p>
      </xdr:txBody>
    </xdr:sp>
    <xdr:clientData/>
  </xdr:twoCellAnchor>
  <xdr:twoCellAnchor>
    <xdr:from>
      <xdr:col>7</xdr:col>
      <xdr:colOff>400050</xdr:colOff>
      <xdr:row>202</xdr:row>
      <xdr:rowOff>152400</xdr:rowOff>
    </xdr:from>
    <xdr:to>
      <xdr:col>16</xdr:col>
      <xdr:colOff>485775</xdr:colOff>
      <xdr:row>232</xdr:row>
      <xdr:rowOff>123825</xdr:rowOff>
    </xdr:to>
    <xdr:grpSp>
      <xdr:nvGrpSpPr>
        <xdr:cNvPr id="16935" name="Group 122"/>
        <xdr:cNvGrpSpPr>
          <a:grpSpLocks/>
        </xdr:cNvGrpSpPr>
      </xdr:nvGrpSpPr>
      <xdr:grpSpPr bwMode="auto">
        <a:xfrm>
          <a:off x="6353175" y="34051875"/>
          <a:ext cx="5572125" cy="4829175"/>
          <a:chOff x="101" y="735"/>
          <a:chExt cx="3508" cy="3038"/>
        </a:xfrm>
      </xdr:grpSpPr>
      <xdr:pic>
        <xdr:nvPicPr>
          <xdr:cNvPr id="16964" name="Picture 123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 l="31653" t="17413" r="17018" b="3206"/>
          <a:stretch>
            <a:fillRect/>
          </a:stretch>
        </xdr:blipFill>
        <xdr:spPr bwMode="auto">
          <a:xfrm>
            <a:off x="240" y="768"/>
            <a:ext cx="2845" cy="29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</xdr:pic>
      <xdr:sp macro="" textlink="">
        <xdr:nvSpPr>
          <xdr:cNvPr id="16508" name="Text Box 124"/>
          <xdr:cNvSpPr txBox="1">
            <a:spLocks noChangeArrowheads="1"/>
          </xdr:cNvSpPr>
        </xdr:nvSpPr>
        <xdr:spPr bwMode="auto">
          <a:xfrm>
            <a:off x="2446" y="3599"/>
            <a:ext cx="540" cy="1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SPB No.2</a:t>
            </a:r>
          </a:p>
          <a:p>
            <a:pPr algn="l" rtl="0">
              <a:lnSpc>
                <a:spcPts val="1000"/>
              </a:lnSpc>
              <a:defRPr sz="1000"/>
            </a:pPr>
            <a:endParaRPr lang="en-US"/>
          </a:p>
        </xdr:txBody>
      </xdr:sp>
      <xdr:sp macro="" textlink="">
        <xdr:nvSpPr>
          <xdr:cNvPr id="16509" name="Text Box 125"/>
          <xdr:cNvSpPr txBox="1">
            <a:spLocks noChangeArrowheads="1"/>
          </xdr:cNvSpPr>
        </xdr:nvSpPr>
        <xdr:spPr bwMode="auto">
          <a:xfrm>
            <a:off x="101" y="3306"/>
            <a:ext cx="540" cy="1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SPB No.3</a:t>
            </a:r>
          </a:p>
          <a:p>
            <a:pPr algn="l" rtl="0">
              <a:lnSpc>
                <a:spcPts val="1000"/>
              </a:lnSpc>
              <a:defRPr sz="1000"/>
            </a:pPr>
            <a:endParaRPr lang="en-US"/>
          </a:p>
        </xdr:txBody>
      </xdr:sp>
      <xdr:sp macro="" textlink="">
        <xdr:nvSpPr>
          <xdr:cNvPr id="16510" name="Text Box 126"/>
          <xdr:cNvSpPr txBox="1">
            <a:spLocks noChangeArrowheads="1"/>
          </xdr:cNvSpPr>
        </xdr:nvSpPr>
        <xdr:spPr bwMode="auto">
          <a:xfrm>
            <a:off x="497" y="735"/>
            <a:ext cx="534" cy="1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SPB No.1</a:t>
            </a:r>
          </a:p>
          <a:p>
            <a:pPr algn="l" rtl="0">
              <a:defRPr sz="1000"/>
            </a:pPr>
            <a:endParaRPr lang="en-US"/>
          </a:p>
        </xdr:txBody>
      </xdr:sp>
      <xdr:sp macro="" textlink="">
        <xdr:nvSpPr>
          <xdr:cNvPr id="16511" name="Text Box 127"/>
          <xdr:cNvSpPr txBox="1">
            <a:spLocks noChangeArrowheads="1"/>
          </xdr:cNvSpPr>
        </xdr:nvSpPr>
        <xdr:spPr bwMode="auto">
          <a:xfrm>
            <a:off x="3069" y="1346"/>
            <a:ext cx="540" cy="1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SPB No.4</a:t>
            </a:r>
          </a:p>
          <a:p>
            <a:pPr algn="l" rtl="0">
              <a:lnSpc>
                <a:spcPts val="1000"/>
              </a:lnSpc>
              <a:defRPr sz="1000"/>
            </a:pPr>
            <a:endParaRPr lang="en-US"/>
          </a:p>
        </xdr:txBody>
      </xdr:sp>
      <xdr:sp macro="" textlink="">
        <xdr:nvSpPr>
          <xdr:cNvPr id="16969" name="Line 128"/>
          <xdr:cNvSpPr>
            <a:spLocks noChangeShapeType="1"/>
          </xdr:cNvSpPr>
        </xdr:nvSpPr>
        <xdr:spPr bwMode="auto">
          <a:xfrm flipH="1" flipV="1">
            <a:off x="2271" y="3374"/>
            <a:ext cx="219" cy="24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  <xdr:sp macro="" textlink="">
        <xdr:nvSpPr>
          <xdr:cNvPr id="16970" name="Line 129"/>
          <xdr:cNvSpPr>
            <a:spLocks noChangeShapeType="1"/>
          </xdr:cNvSpPr>
        </xdr:nvSpPr>
        <xdr:spPr bwMode="auto">
          <a:xfrm flipH="1">
            <a:off x="2880" y="1489"/>
            <a:ext cx="234" cy="17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  <xdr:sp macro="" textlink="">
        <xdr:nvSpPr>
          <xdr:cNvPr id="16971" name="Line 130"/>
          <xdr:cNvSpPr>
            <a:spLocks noChangeShapeType="1"/>
          </xdr:cNvSpPr>
        </xdr:nvSpPr>
        <xdr:spPr bwMode="auto">
          <a:xfrm flipV="1">
            <a:off x="190" y="2782"/>
            <a:ext cx="288" cy="52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  <xdr:sp macro="" textlink="">
        <xdr:nvSpPr>
          <xdr:cNvPr id="16972" name="Line 131"/>
          <xdr:cNvSpPr>
            <a:spLocks noChangeShapeType="1"/>
          </xdr:cNvSpPr>
        </xdr:nvSpPr>
        <xdr:spPr bwMode="auto">
          <a:xfrm>
            <a:off x="995" y="880"/>
            <a:ext cx="173" cy="27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  <xdr:sp macro="" textlink="">
        <xdr:nvSpPr>
          <xdr:cNvPr id="16516" name="Text Box 132"/>
          <xdr:cNvSpPr txBox="1">
            <a:spLocks noChangeArrowheads="1"/>
          </xdr:cNvSpPr>
        </xdr:nvSpPr>
        <xdr:spPr bwMode="auto">
          <a:xfrm>
            <a:off x="2644" y="765"/>
            <a:ext cx="348" cy="1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IDPU</a:t>
            </a:r>
          </a:p>
          <a:p>
            <a:pPr algn="l" rtl="0">
              <a:lnSpc>
                <a:spcPts val="1000"/>
              </a:lnSpc>
              <a:defRPr sz="1000"/>
            </a:pPr>
            <a:endParaRPr lang="en-US"/>
          </a:p>
        </xdr:txBody>
      </xdr:sp>
      <xdr:sp macro="" textlink="">
        <xdr:nvSpPr>
          <xdr:cNvPr id="16974" name="Line 133"/>
          <xdr:cNvSpPr>
            <a:spLocks noChangeShapeType="1"/>
          </xdr:cNvSpPr>
        </xdr:nvSpPr>
        <xdr:spPr bwMode="auto">
          <a:xfrm flipH="1">
            <a:off x="2187" y="874"/>
            <a:ext cx="480" cy="19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</xdr:grpSp>
    <xdr:clientData/>
  </xdr:twoCellAnchor>
  <xdr:oneCellAnchor>
    <xdr:from>
      <xdr:col>13</xdr:col>
      <xdr:colOff>190500</xdr:colOff>
      <xdr:row>213</xdr:row>
      <xdr:rowOff>66675</xdr:rowOff>
    </xdr:from>
    <xdr:ext cx="338619" cy="451406"/>
    <xdr:sp macro="" textlink="">
      <xdr:nvSpPr>
        <xdr:cNvPr id="16518" name="Text Box 134"/>
        <xdr:cNvSpPr txBox="1">
          <a:spLocks noChangeArrowheads="1"/>
        </xdr:cNvSpPr>
      </xdr:nvSpPr>
      <xdr:spPr bwMode="auto">
        <a:xfrm>
          <a:off x="9801225" y="35747325"/>
          <a:ext cx="338619" cy="451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1800"/>
            </a:lnSpc>
            <a:defRPr sz="1000"/>
          </a:pPr>
          <a:r>
            <a:rPr lang="en-US" sz="1800" b="0" i="0" u="none" strike="noStrike" baseline="0">
              <a:solidFill>
                <a:srgbClr val="008080"/>
              </a:solidFill>
              <a:latin typeface="Arial"/>
              <a:cs typeface="Arial"/>
            </a:rPr>
            <a:t>X</a:t>
          </a:r>
        </a:p>
        <a:p>
          <a:pPr algn="l" rtl="0">
            <a:lnSpc>
              <a:spcPts val="1000"/>
            </a:lnSpc>
            <a:defRPr sz="1000"/>
          </a:pPr>
          <a:endParaRPr lang="en-US"/>
        </a:p>
      </xdr:txBody>
    </xdr:sp>
    <xdr:clientData/>
  </xdr:oneCellAnchor>
  <xdr:oneCellAnchor>
    <xdr:from>
      <xdr:col>12</xdr:col>
      <xdr:colOff>238125</xdr:colOff>
      <xdr:row>205</xdr:row>
      <xdr:rowOff>28575</xdr:rowOff>
    </xdr:from>
    <xdr:ext cx="338619" cy="451406"/>
    <xdr:sp macro="" textlink="">
      <xdr:nvSpPr>
        <xdr:cNvPr id="16519" name="Text Box 135"/>
        <xdr:cNvSpPr txBox="1">
          <a:spLocks noChangeArrowheads="1"/>
        </xdr:cNvSpPr>
      </xdr:nvSpPr>
      <xdr:spPr bwMode="auto">
        <a:xfrm>
          <a:off x="9239250" y="34413825"/>
          <a:ext cx="338619" cy="451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1800"/>
            </a:lnSpc>
            <a:defRPr sz="1000"/>
          </a:pPr>
          <a:r>
            <a:rPr lang="en-US" sz="1800" b="0" i="0" u="none" strike="noStrike" baseline="0">
              <a:solidFill>
                <a:srgbClr val="008080"/>
              </a:solidFill>
              <a:latin typeface="Arial"/>
              <a:cs typeface="Arial"/>
            </a:rPr>
            <a:t>X</a:t>
          </a:r>
        </a:p>
        <a:p>
          <a:pPr algn="l" rtl="0">
            <a:lnSpc>
              <a:spcPts val="1000"/>
            </a:lnSpc>
            <a:defRPr sz="1000"/>
          </a:pPr>
          <a:endParaRPr lang="en-US"/>
        </a:p>
      </xdr:txBody>
    </xdr:sp>
    <xdr:clientData/>
  </xdr:oneCellAnchor>
  <xdr:oneCellAnchor>
    <xdr:from>
      <xdr:col>15</xdr:col>
      <xdr:colOff>333375</xdr:colOff>
      <xdr:row>203</xdr:row>
      <xdr:rowOff>76200</xdr:rowOff>
    </xdr:from>
    <xdr:ext cx="2819041" cy="607923"/>
    <xdr:sp macro="" textlink="">
      <xdr:nvSpPr>
        <xdr:cNvPr id="16521" name="Text Box 137"/>
        <xdr:cNvSpPr txBox="1">
          <a:spLocks noChangeArrowheads="1"/>
        </xdr:cNvSpPr>
      </xdr:nvSpPr>
      <xdr:spPr bwMode="auto">
        <a:xfrm>
          <a:off x="11163300" y="34137600"/>
          <a:ext cx="2819041" cy="607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1400"/>
            </a:lnSpc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Harness length between ’</a:t>
          </a:r>
          <a:r>
            <a:rPr lang="en-US" sz="1400" b="0" i="0" u="none" strike="noStrike" baseline="0">
              <a:solidFill>
                <a:srgbClr val="008080"/>
              </a:solidFill>
              <a:latin typeface="Arial"/>
              <a:cs typeface="Arial"/>
            </a:rPr>
            <a:t>X</a:t>
          </a: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  <a:r>
            <a:rPr lang="en-US" sz="1400" b="0" i="0" u="none" strike="noStrike" baseline="0">
              <a:solidFill>
                <a:srgbClr val="008080"/>
              </a:solidFill>
              <a:latin typeface="Arial"/>
              <a:cs typeface="Arial"/>
            </a:rPr>
            <a:t>X</a:t>
          </a: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’</a:t>
          </a:r>
        </a:p>
        <a:p>
          <a:pPr algn="l" rtl="0">
            <a:lnSpc>
              <a:spcPts val="1400"/>
            </a:lnSpc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is approximately </a:t>
          </a:r>
          <a:r>
            <a:rPr lang="en-US" sz="1400" b="0" i="0" u="none" strike="noStrike" baseline="0">
              <a:solidFill>
                <a:srgbClr val="800000"/>
              </a:solidFill>
              <a:latin typeface="Arial"/>
              <a:cs typeface="Arial"/>
            </a:rPr>
            <a:t>1.803m[71.00in]</a:t>
          </a:r>
        </a:p>
        <a:p>
          <a:pPr algn="l" rtl="0">
            <a:defRPr sz="1000"/>
          </a:pPr>
          <a:endParaRPr lang="en-US"/>
        </a:p>
      </xdr:txBody>
    </xdr:sp>
    <xdr:clientData/>
  </xdr:oneCellAnchor>
  <xdr:twoCellAnchor editAs="oneCell">
    <xdr:from>
      <xdr:col>16</xdr:col>
      <xdr:colOff>142875</xdr:colOff>
      <xdr:row>102</xdr:row>
      <xdr:rowOff>104775</xdr:rowOff>
    </xdr:from>
    <xdr:to>
      <xdr:col>23</xdr:col>
      <xdr:colOff>285750</xdr:colOff>
      <xdr:row>105</xdr:row>
      <xdr:rowOff>133350</xdr:rowOff>
    </xdr:to>
    <xdr:sp macro="" textlink="">
      <xdr:nvSpPr>
        <xdr:cNvPr id="16536" name="Text Box 152"/>
        <xdr:cNvSpPr txBox="1">
          <a:spLocks noChangeArrowheads="1"/>
        </xdr:cNvSpPr>
      </xdr:nvSpPr>
      <xdr:spPr bwMode="auto">
        <a:xfrm>
          <a:off x="11582400" y="17487900"/>
          <a:ext cx="44100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Harness Length (B):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Connector Bulkhead-A to Bulkhead-C (AFT) = 1.15m[45.144in]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Bulkhead-C to AFT AXB No.6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JB = 0.356m[14.020in]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JC = 0.318m[12.503in]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JD = 0.404m[15.897in]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JD to JA = 0.395m[15.556in] </a:t>
          </a:r>
        </a:p>
        <a:p>
          <a:pPr algn="l" rtl="0">
            <a:defRPr sz="1000"/>
          </a:pPr>
          <a:endParaRPr lang="en-US"/>
        </a:p>
      </xdr:txBody>
    </xdr:sp>
    <xdr:clientData/>
  </xdr:twoCellAnchor>
  <xdr:twoCellAnchor editAs="oneCell">
    <xdr:from>
      <xdr:col>6</xdr:col>
      <xdr:colOff>409575</xdr:colOff>
      <xdr:row>102</xdr:row>
      <xdr:rowOff>142875</xdr:rowOff>
    </xdr:from>
    <xdr:to>
      <xdr:col>14</xdr:col>
      <xdr:colOff>266700</xdr:colOff>
      <xdr:row>106</xdr:row>
      <xdr:rowOff>28575</xdr:rowOff>
    </xdr:to>
    <xdr:sp macro="" textlink="">
      <xdr:nvSpPr>
        <xdr:cNvPr id="16544" name="Rectangle 160"/>
        <xdr:cNvSpPr>
          <a:spLocks noChangeArrowheads="1"/>
        </xdr:cNvSpPr>
      </xdr:nvSpPr>
      <xdr:spPr bwMode="auto">
        <a:xfrm>
          <a:off x="5753100" y="17526000"/>
          <a:ext cx="4733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Harness Length (A):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Connector Bulkhead-A to Bulkhead-C1 (FWD) = </a:t>
          </a:r>
          <a:r>
            <a:rPr lang="en-US" sz="1200" b="0" i="0" u="none" strike="noStrike" baseline="0">
              <a:solidFill>
                <a:srgbClr val="800000"/>
              </a:solidFill>
              <a:latin typeface="Arial"/>
              <a:cs typeface="Arial"/>
            </a:rPr>
            <a:t>1.24m[48.695in]</a:t>
          </a:r>
          <a:endParaRPr lang="en-US" sz="800" b="0" i="0" u="none" strike="noStrike" baseline="0">
            <a:solidFill>
              <a:srgbClr val="8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Bulkhead-C1 to FWD AXB No.6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JB = 0.356m[14.020in]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JC = 0.318m[12.503in]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JD = 0.404m[15.897in]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JD to JA = 0.395m[15.556in]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800000"/>
              </a:solidFill>
              <a:latin typeface="Arial"/>
              <a:cs typeface="Arial"/>
            </a:rPr>
            <a:t>Harness running between AXB No. 6 and Bulkhead–C1 remain the same for S/C –A and S/C –B.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800000"/>
              </a:solidFill>
              <a:latin typeface="Arial"/>
              <a:cs typeface="Arial"/>
            </a:rPr>
            <a:t>Axial deck assembly is rotated making harness lengths different.</a:t>
          </a:r>
        </a:p>
        <a:p>
          <a:pPr algn="l" rtl="0">
            <a:defRPr sz="1000"/>
          </a:pPr>
          <a:endParaRPr lang="en-US"/>
        </a:p>
      </xdr:txBody>
    </xdr:sp>
    <xdr:clientData/>
  </xdr:twoCellAnchor>
  <xdr:twoCellAnchor>
    <xdr:from>
      <xdr:col>7</xdr:col>
      <xdr:colOff>133350</xdr:colOff>
      <xdr:row>32</xdr:row>
      <xdr:rowOff>47625</xdr:rowOff>
    </xdr:from>
    <xdr:to>
      <xdr:col>15</xdr:col>
      <xdr:colOff>409575</xdr:colOff>
      <xdr:row>63</xdr:row>
      <xdr:rowOff>85725</xdr:rowOff>
    </xdr:to>
    <xdr:pic>
      <xdr:nvPicPr>
        <xdr:cNvPr id="16941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8047" t="10381" r="21921" b="13429"/>
        <a:stretch>
          <a:fillRect/>
        </a:stretch>
      </xdr:blipFill>
      <xdr:spPr bwMode="auto">
        <a:xfrm>
          <a:off x="6086475" y="5476875"/>
          <a:ext cx="5153025" cy="52578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twoCellAnchor>
    <xdr:from>
      <xdr:col>5</xdr:col>
      <xdr:colOff>447675</xdr:colOff>
      <xdr:row>69</xdr:row>
      <xdr:rowOff>133350</xdr:rowOff>
    </xdr:from>
    <xdr:to>
      <xdr:col>14</xdr:col>
      <xdr:colOff>219075</xdr:colOff>
      <xdr:row>98</xdr:row>
      <xdr:rowOff>66675</xdr:rowOff>
    </xdr:to>
    <xdr:pic>
      <xdr:nvPicPr>
        <xdr:cNvPr id="16942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 l="32642" t="12666" r="14774" b="13429"/>
        <a:stretch>
          <a:fillRect/>
        </a:stretch>
      </xdr:blipFill>
      <xdr:spPr bwMode="auto">
        <a:xfrm>
          <a:off x="5181600" y="11849100"/>
          <a:ext cx="5257800" cy="495300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oneCellAnchor>
    <xdr:from>
      <xdr:col>14</xdr:col>
      <xdr:colOff>142875</xdr:colOff>
      <xdr:row>89</xdr:row>
      <xdr:rowOff>152400</xdr:rowOff>
    </xdr:from>
    <xdr:ext cx="1177053" cy="348813"/>
    <xdr:sp macro="" textlink="">
      <xdr:nvSpPr>
        <xdr:cNvPr id="16553" name="Text Box 169"/>
        <xdr:cNvSpPr txBox="1">
          <a:spLocks noChangeArrowheads="1"/>
        </xdr:cNvSpPr>
      </xdr:nvSpPr>
      <xdr:spPr bwMode="auto">
        <a:xfrm>
          <a:off x="10363200" y="15430500"/>
          <a:ext cx="1177053" cy="348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New Bulkhead</a:t>
          </a:r>
        </a:p>
        <a:p>
          <a:pPr algn="l" rtl="0">
            <a:lnSpc>
              <a:spcPts val="900"/>
            </a:lnSpc>
            <a:defRPr sz="1000"/>
          </a:pPr>
          <a:endParaRPr lang="en-US"/>
        </a:p>
      </xdr:txBody>
    </xdr:sp>
    <xdr:clientData/>
  </xdr:oneCellAnchor>
  <xdr:twoCellAnchor>
    <xdr:from>
      <xdr:col>12</xdr:col>
      <xdr:colOff>66675</xdr:colOff>
      <xdr:row>86</xdr:row>
      <xdr:rowOff>38100</xdr:rowOff>
    </xdr:from>
    <xdr:to>
      <xdr:col>14</xdr:col>
      <xdr:colOff>219075</xdr:colOff>
      <xdr:row>90</xdr:row>
      <xdr:rowOff>66675</xdr:rowOff>
    </xdr:to>
    <xdr:sp macro="" textlink="">
      <xdr:nvSpPr>
        <xdr:cNvPr id="16944" name="Line 170"/>
        <xdr:cNvSpPr>
          <a:spLocks noChangeShapeType="1"/>
        </xdr:cNvSpPr>
      </xdr:nvSpPr>
      <xdr:spPr bwMode="auto">
        <a:xfrm flipH="1" flipV="1">
          <a:off x="9067800" y="14668500"/>
          <a:ext cx="1371600" cy="838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oneCellAnchor>
    <xdr:from>
      <xdr:col>4</xdr:col>
      <xdr:colOff>600075</xdr:colOff>
      <xdr:row>70</xdr:row>
      <xdr:rowOff>47625</xdr:rowOff>
    </xdr:from>
    <xdr:ext cx="1818768" cy="348813"/>
    <xdr:sp macro="" textlink="">
      <xdr:nvSpPr>
        <xdr:cNvPr id="16555" name="Text Box 171"/>
        <xdr:cNvSpPr txBox="1">
          <a:spLocks noChangeArrowheads="1"/>
        </xdr:cNvSpPr>
      </xdr:nvSpPr>
      <xdr:spPr bwMode="auto">
        <a:xfrm>
          <a:off x="4724400" y="11925300"/>
          <a:ext cx="1818768" cy="348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Connector Bulkhead-B1</a:t>
          </a:r>
        </a:p>
        <a:p>
          <a:pPr algn="l" rtl="0">
            <a:lnSpc>
              <a:spcPts val="900"/>
            </a:lnSpc>
            <a:defRPr sz="1000"/>
          </a:pPr>
          <a:endParaRPr lang="en-US"/>
        </a:p>
      </xdr:txBody>
    </xdr:sp>
    <xdr:clientData/>
  </xdr:oneCellAnchor>
  <xdr:twoCellAnchor>
    <xdr:from>
      <xdr:col>7</xdr:col>
      <xdr:colOff>523875</xdr:colOff>
      <xdr:row>71</xdr:row>
      <xdr:rowOff>114300</xdr:rowOff>
    </xdr:from>
    <xdr:to>
      <xdr:col>9</xdr:col>
      <xdr:colOff>447675</xdr:colOff>
      <xdr:row>74</xdr:row>
      <xdr:rowOff>0</xdr:rowOff>
    </xdr:to>
    <xdr:sp macro="" textlink="">
      <xdr:nvSpPr>
        <xdr:cNvPr id="16946" name="Line 172"/>
        <xdr:cNvSpPr>
          <a:spLocks noChangeShapeType="1"/>
        </xdr:cNvSpPr>
      </xdr:nvSpPr>
      <xdr:spPr bwMode="auto">
        <a:xfrm>
          <a:off x="6477000" y="12153900"/>
          <a:ext cx="114300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16</xdr:col>
      <xdr:colOff>47625</xdr:colOff>
      <xdr:row>69</xdr:row>
      <xdr:rowOff>38100</xdr:rowOff>
    </xdr:from>
    <xdr:to>
      <xdr:col>25</xdr:col>
      <xdr:colOff>123825</xdr:colOff>
      <xdr:row>98</xdr:row>
      <xdr:rowOff>142875</xdr:rowOff>
    </xdr:to>
    <xdr:pic>
      <xdr:nvPicPr>
        <xdr:cNvPr id="16947" name="Picture 17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30600" t="10381" r="11710" b="10381"/>
        <a:stretch>
          <a:fillRect/>
        </a:stretch>
      </xdr:blipFill>
      <xdr:spPr bwMode="auto">
        <a:xfrm>
          <a:off x="11487150" y="11753850"/>
          <a:ext cx="5562600" cy="51244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oneCellAnchor>
    <xdr:from>
      <xdr:col>25</xdr:col>
      <xdr:colOff>123825</xdr:colOff>
      <xdr:row>88</xdr:row>
      <xdr:rowOff>76200</xdr:rowOff>
    </xdr:from>
    <xdr:ext cx="1177053" cy="348813"/>
    <xdr:sp macro="" textlink="">
      <xdr:nvSpPr>
        <xdr:cNvPr id="16564" name="Text Box 180"/>
        <xdr:cNvSpPr txBox="1">
          <a:spLocks noChangeArrowheads="1"/>
        </xdr:cNvSpPr>
      </xdr:nvSpPr>
      <xdr:spPr bwMode="auto">
        <a:xfrm>
          <a:off x="17049750" y="15030450"/>
          <a:ext cx="1177053" cy="348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New Bulkhead</a:t>
          </a:r>
        </a:p>
        <a:p>
          <a:pPr algn="l" rtl="0">
            <a:lnSpc>
              <a:spcPts val="900"/>
            </a:lnSpc>
            <a:defRPr sz="1000"/>
          </a:pPr>
          <a:endParaRPr lang="en-US"/>
        </a:p>
      </xdr:txBody>
    </xdr:sp>
    <xdr:clientData/>
  </xdr:oneCellAnchor>
  <xdr:twoCellAnchor>
    <xdr:from>
      <xdr:col>22</xdr:col>
      <xdr:colOff>504825</xdr:colOff>
      <xdr:row>85</xdr:row>
      <xdr:rowOff>104775</xdr:rowOff>
    </xdr:from>
    <xdr:to>
      <xdr:col>25</xdr:col>
      <xdr:colOff>123825</xdr:colOff>
      <xdr:row>88</xdr:row>
      <xdr:rowOff>152400</xdr:rowOff>
    </xdr:to>
    <xdr:sp macro="" textlink="">
      <xdr:nvSpPr>
        <xdr:cNvPr id="16949" name="Line 181"/>
        <xdr:cNvSpPr>
          <a:spLocks noChangeShapeType="1"/>
        </xdr:cNvSpPr>
      </xdr:nvSpPr>
      <xdr:spPr bwMode="auto">
        <a:xfrm flipH="1" flipV="1">
          <a:off x="15601950" y="14573250"/>
          <a:ext cx="144780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oneCellAnchor>
    <xdr:from>
      <xdr:col>15</xdr:col>
      <xdr:colOff>47625</xdr:colOff>
      <xdr:row>71</xdr:row>
      <xdr:rowOff>95250</xdr:rowOff>
    </xdr:from>
    <xdr:ext cx="1733167" cy="348813"/>
    <xdr:sp macro="" textlink="">
      <xdr:nvSpPr>
        <xdr:cNvPr id="16566" name="Text Box 182"/>
        <xdr:cNvSpPr txBox="1">
          <a:spLocks noChangeArrowheads="1"/>
        </xdr:cNvSpPr>
      </xdr:nvSpPr>
      <xdr:spPr bwMode="auto">
        <a:xfrm>
          <a:off x="10877550" y="12134850"/>
          <a:ext cx="1733167" cy="348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Connector Bulkhead-B</a:t>
          </a:r>
        </a:p>
        <a:p>
          <a:pPr algn="l" rtl="0">
            <a:lnSpc>
              <a:spcPts val="900"/>
            </a:lnSpc>
            <a:defRPr sz="1000"/>
          </a:pPr>
          <a:endParaRPr lang="en-US"/>
        </a:p>
      </xdr:txBody>
    </xdr:sp>
    <xdr:clientData/>
  </xdr:oneCellAnchor>
  <xdr:twoCellAnchor>
    <xdr:from>
      <xdr:col>17</xdr:col>
      <xdr:colOff>428625</xdr:colOff>
      <xdr:row>72</xdr:row>
      <xdr:rowOff>161925</xdr:rowOff>
    </xdr:from>
    <xdr:to>
      <xdr:col>19</xdr:col>
      <xdr:colOff>276225</xdr:colOff>
      <xdr:row>80</xdr:row>
      <xdr:rowOff>0</xdr:rowOff>
    </xdr:to>
    <xdr:sp macro="" textlink="">
      <xdr:nvSpPr>
        <xdr:cNvPr id="16951" name="Line 183"/>
        <xdr:cNvSpPr>
          <a:spLocks noChangeShapeType="1"/>
        </xdr:cNvSpPr>
      </xdr:nvSpPr>
      <xdr:spPr bwMode="auto">
        <a:xfrm>
          <a:off x="12477750" y="12363450"/>
          <a:ext cx="1066800" cy="1295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oneCellAnchor>
    <xdr:from>
      <xdr:col>23</xdr:col>
      <xdr:colOff>247650</xdr:colOff>
      <xdr:row>69</xdr:row>
      <xdr:rowOff>76200</xdr:rowOff>
    </xdr:from>
    <xdr:ext cx="552331" cy="348813"/>
    <xdr:sp macro="" textlink="">
      <xdr:nvSpPr>
        <xdr:cNvPr id="16568" name="Text Box 184"/>
        <xdr:cNvSpPr txBox="1">
          <a:spLocks noChangeArrowheads="1"/>
        </xdr:cNvSpPr>
      </xdr:nvSpPr>
      <xdr:spPr bwMode="auto">
        <a:xfrm>
          <a:off x="15954375" y="11791950"/>
          <a:ext cx="552331" cy="348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IDPU</a:t>
          </a:r>
        </a:p>
        <a:p>
          <a:pPr algn="l" rtl="0">
            <a:lnSpc>
              <a:spcPts val="900"/>
            </a:lnSpc>
            <a:defRPr sz="1000"/>
          </a:pPr>
          <a:endParaRPr lang="en-US"/>
        </a:p>
      </xdr:txBody>
    </xdr:sp>
    <xdr:clientData/>
  </xdr:oneCellAnchor>
  <xdr:twoCellAnchor>
    <xdr:from>
      <xdr:col>22</xdr:col>
      <xdr:colOff>123825</xdr:colOff>
      <xdr:row>70</xdr:row>
      <xdr:rowOff>76200</xdr:rowOff>
    </xdr:from>
    <xdr:to>
      <xdr:col>23</xdr:col>
      <xdr:colOff>276225</xdr:colOff>
      <xdr:row>72</xdr:row>
      <xdr:rowOff>57150</xdr:rowOff>
    </xdr:to>
    <xdr:sp macro="" textlink="">
      <xdr:nvSpPr>
        <xdr:cNvPr id="16953" name="Line 185"/>
        <xdr:cNvSpPr>
          <a:spLocks noChangeShapeType="1"/>
        </xdr:cNvSpPr>
      </xdr:nvSpPr>
      <xdr:spPr bwMode="auto">
        <a:xfrm flipH="1">
          <a:off x="15220950" y="11953875"/>
          <a:ext cx="762000" cy="304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3</xdr:col>
      <xdr:colOff>447675</xdr:colOff>
      <xdr:row>106</xdr:row>
      <xdr:rowOff>28575</xdr:rowOff>
    </xdr:from>
    <xdr:to>
      <xdr:col>12</xdr:col>
      <xdr:colOff>523875</xdr:colOff>
      <xdr:row>134</xdr:row>
      <xdr:rowOff>85725</xdr:rowOff>
    </xdr:to>
    <xdr:pic>
      <xdr:nvPicPr>
        <xdr:cNvPr id="16954" name="Picture 19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28558" t="8858" r="10179" b="15714"/>
        <a:stretch>
          <a:fillRect/>
        </a:stretch>
      </xdr:blipFill>
      <xdr:spPr bwMode="auto">
        <a:xfrm>
          <a:off x="3962400" y="18059400"/>
          <a:ext cx="5562600" cy="45910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oneCellAnchor>
    <xdr:from>
      <xdr:col>12</xdr:col>
      <xdr:colOff>295275</xdr:colOff>
      <xdr:row>109</xdr:row>
      <xdr:rowOff>76200</xdr:rowOff>
    </xdr:from>
    <xdr:ext cx="1827231" cy="348813"/>
    <xdr:sp macro="" textlink="">
      <xdr:nvSpPr>
        <xdr:cNvPr id="16576" name="Text Box 192"/>
        <xdr:cNvSpPr txBox="1">
          <a:spLocks noChangeArrowheads="1"/>
        </xdr:cNvSpPr>
      </xdr:nvSpPr>
      <xdr:spPr bwMode="auto">
        <a:xfrm>
          <a:off x="9296400" y="18592800"/>
          <a:ext cx="1827231" cy="348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Connector Bulkhead-C1</a:t>
          </a:r>
        </a:p>
        <a:p>
          <a:pPr algn="l" rtl="0">
            <a:lnSpc>
              <a:spcPts val="900"/>
            </a:lnSpc>
            <a:defRPr sz="1000"/>
          </a:pPr>
          <a:endParaRPr lang="en-US"/>
        </a:p>
      </xdr:txBody>
    </xdr:sp>
    <xdr:clientData/>
  </xdr:oneCellAnchor>
  <xdr:twoCellAnchor>
    <xdr:from>
      <xdr:col>9</xdr:col>
      <xdr:colOff>295275</xdr:colOff>
      <xdr:row>110</xdr:row>
      <xdr:rowOff>66675</xdr:rowOff>
    </xdr:from>
    <xdr:to>
      <xdr:col>12</xdr:col>
      <xdr:colOff>295275</xdr:colOff>
      <xdr:row>113</xdr:row>
      <xdr:rowOff>38100</xdr:rowOff>
    </xdr:to>
    <xdr:sp macro="" textlink="">
      <xdr:nvSpPr>
        <xdr:cNvPr id="16956" name="Line 193"/>
        <xdr:cNvSpPr>
          <a:spLocks noChangeShapeType="1"/>
        </xdr:cNvSpPr>
      </xdr:nvSpPr>
      <xdr:spPr bwMode="auto">
        <a:xfrm flipH="1">
          <a:off x="7467600" y="18745200"/>
          <a:ext cx="1828800" cy="4572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oneCellAnchor>
    <xdr:from>
      <xdr:col>4</xdr:col>
      <xdr:colOff>219075</xdr:colOff>
      <xdr:row>132</xdr:row>
      <xdr:rowOff>85725</xdr:rowOff>
    </xdr:from>
    <xdr:ext cx="1177053" cy="348813"/>
    <xdr:sp macro="" textlink="">
      <xdr:nvSpPr>
        <xdr:cNvPr id="16578" name="Text Box 194"/>
        <xdr:cNvSpPr txBox="1">
          <a:spLocks noChangeArrowheads="1"/>
        </xdr:cNvSpPr>
      </xdr:nvSpPr>
      <xdr:spPr bwMode="auto">
        <a:xfrm>
          <a:off x="4343400" y="22326600"/>
          <a:ext cx="1177053" cy="348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New Bulkhead</a:t>
          </a:r>
        </a:p>
        <a:p>
          <a:pPr algn="l" rtl="0">
            <a:lnSpc>
              <a:spcPts val="900"/>
            </a:lnSpc>
            <a:defRPr sz="1000"/>
          </a:pPr>
          <a:endParaRPr lang="en-US"/>
        </a:p>
      </xdr:txBody>
    </xdr:sp>
    <xdr:clientData/>
  </xdr:oneCellAnchor>
  <xdr:twoCellAnchor>
    <xdr:from>
      <xdr:col>6</xdr:col>
      <xdr:colOff>66675</xdr:colOff>
      <xdr:row>121</xdr:row>
      <xdr:rowOff>38100</xdr:rowOff>
    </xdr:from>
    <xdr:to>
      <xdr:col>6</xdr:col>
      <xdr:colOff>371475</xdr:colOff>
      <xdr:row>132</xdr:row>
      <xdr:rowOff>85725</xdr:rowOff>
    </xdr:to>
    <xdr:sp macro="" textlink="">
      <xdr:nvSpPr>
        <xdr:cNvPr id="16958" name="Line 195"/>
        <xdr:cNvSpPr>
          <a:spLocks noChangeShapeType="1"/>
        </xdr:cNvSpPr>
      </xdr:nvSpPr>
      <xdr:spPr bwMode="auto">
        <a:xfrm flipV="1">
          <a:off x="5410200" y="20497800"/>
          <a:ext cx="304800" cy="1828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16</xdr:col>
      <xdr:colOff>123825</xdr:colOff>
      <xdr:row>106</xdr:row>
      <xdr:rowOff>9525</xdr:rowOff>
    </xdr:from>
    <xdr:to>
      <xdr:col>24</xdr:col>
      <xdr:colOff>504825</xdr:colOff>
      <xdr:row>133</xdr:row>
      <xdr:rowOff>28575</xdr:rowOff>
    </xdr:to>
    <xdr:pic>
      <xdr:nvPicPr>
        <xdr:cNvPr id="16959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 l="33153" t="12666" r="11200" b="18001"/>
        <a:stretch>
          <a:fillRect/>
        </a:stretch>
      </xdr:blipFill>
      <xdr:spPr bwMode="auto">
        <a:xfrm>
          <a:off x="11563350" y="18040350"/>
          <a:ext cx="5257800" cy="4391025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oneCellAnchor>
    <xdr:from>
      <xdr:col>16</xdr:col>
      <xdr:colOff>428625</xdr:colOff>
      <xdr:row>131</xdr:row>
      <xdr:rowOff>152400</xdr:rowOff>
    </xdr:from>
    <xdr:ext cx="1177053" cy="348813"/>
    <xdr:sp macro="" textlink="">
      <xdr:nvSpPr>
        <xdr:cNvPr id="16581" name="Text Box 197"/>
        <xdr:cNvSpPr txBox="1">
          <a:spLocks noChangeArrowheads="1"/>
        </xdr:cNvSpPr>
      </xdr:nvSpPr>
      <xdr:spPr bwMode="auto">
        <a:xfrm>
          <a:off x="11868150" y="22231350"/>
          <a:ext cx="1177053" cy="348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New Bulkhead</a:t>
          </a:r>
        </a:p>
        <a:p>
          <a:pPr algn="l" rtl="0">
            <a:lnSpc>
              <a:spcPts val="900"/>
            </a:lnSpc>
            <a:defRPr sz="1000"/>
          </a:pPr>
          <a:endParaRPr lang="en-US"/>
        </a:p>
      </xdr:txBody>
    </xdr:sp>
    <xdr:clientData/>
  </xdr:oneCellAnchor>
  <xdr:twoCellAnchor>
    <xdr:from>
      <xdr:col>18</xdr:col>
      <xdr:colOff>276225</xdr:colOff>
      <xdr:row>121</xdr:row>
      <xdr:rowOff>95250</xdr:rowOff>
    </xdr:from>
    <xdr:to>
      <xdr:col>18</xdr:col>
      <xdr:colOff>581025</xdr:colOff>
      <xdr:row>131</xdr:row>
      <xdr:rowOff>152400</xdr:rowOff>
    </xdr:to>
    <xdr:sp macro="" textlink="">
      <xdr:nvSpPr>
        <xdr:cNvPr id="16961" name="Line 198"/>
        <xdr:cNvSpPr>
          <a:spLocks noChangeShapeType="1"/>
        </xdr:cNvSpPr>
      </xdr:nvSpPr>
      <xdr:spPr bwMode="auto">
        <a:xfrm flipV="1">
          <a:off x="12934950" y="20554950"/>
          <a:ext cx="304800" cy="1676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oneCellAnchor>
    <xdr:from>
      <xdr:col>14</xdr:col>
      <xdr:colOff>428625</xdr:colOff>
      <xdr:row>106</xdr:row>
      <xdr:rowOff>85725</xdr:rowOff>
    </xdr:from>
    <xdr:ext cx="1741631" cy="348813"/>
    <xdr:sp macro="" textlink="">
      <xdr:nvSpPr>
        <xdr:cNvPr id="16583" name="Text Box 199"/>
        <xdr:cNvSpPr txBox="1">
          <a:spLocks noChangeArrowheads="1"/>
        </xdr:cNvSpPr>
      </xdr:nvSpPr>
      <xdr:spPr bwMode="auto">
        <a:xfrm>
          <a:off x="10648950" y="18116550"/>
          <a:ext cx="1741631" cy="348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Connector Bulkhead-C</a:t>
          </a:r>
        </a:p>
        <a:p>
          <a:pPr algn="l" rtl="0">
            <a:lnSpc>
              <a:spcPts val="900"/>
            </a:lnSpc>
            <a:defRPr sz="1000"/>
          </a:pPr>
          <a:endParaRPr lang="en-US"/>
        </a:p>
      </xdr:txBody>
    </xdr:sp>
    <xdr:clientData/>
  </xdr:oneCellAnchor>
  <xdr:twoCellAnchor>
    <xdr:from>
      <xdr:col>17</xdr:col>
      <xdr:colOff>276225</xdr:colOff>
      <xdr:row>107</xdr:row>
      <xdr:rowOff>76200</xdr:rowOff>
    </xdr:from>
    <xdr:to>
      <xdr:col>19</xdr:col>
      <xdr:colOff>276225</xdr:colOff>
      <xdr:row>110</xdr:row>
      <xdr:rowOff>123825</xdr:rowOff>
    </xdr:to>
    <xdr:sp macro="" textlink="">
      <xdr:nvSpPr>
        <xdr:cNvPr id="16963" name="Line 200"/>
        <xdr:cNvSpPr>
          <a:spLocks noChangeShapeType="1"/>
        </xdr:cNvSpPr>
      </xdr:nvSpPr>
      <xdr:spPr bwMode="auto">
        <a:xfrm>
          <a:off x="12325350" y="18268950"/>
          <a:ext cx="121920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409575</xdr:colOff>
      <xdr:row>31</xdr:row>
      <xdr:rowOff>95250</xdr:rowOff>
    </xdr:from>
    <xdr:to>
      <xdr:col>16</xdr:col>
      <xdr:colOff>28575</xdr:colOff>
      <xdr:row>57</xdr:row>
      <xdr:rowOff>19050</xdr:rowOff>
    </xdr:to>
    <xdr:grpSp>
      <xdr:nvGrpSpPr>
        <xdr:cNvPr id="18931" name="Group 1"/>
        <xdr:cNvGrpSpPr>
          <a:grpSpLocks/>
        </xdr:cNvGrpSpPr>
      </xdr:nvGrpSpPr>
      <xdr:grpSpPr bwMode="auto">
        <a:xfrm>
          <a:off x="5753100" y="5362575"/>
          <a:ext cx="5715000" cy="4333875"/>
          <a:chOff x="48" y="720"/>
          <a:chExt cx="3598" cy="3024"/>
        </a:xfrm>
      </xdr:grpSpPr>
      <xdr:pic>
        <xdr:nvPicPr>
          <xdr:cNvPr id="19007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 l="32504" t="17270" r="15976" b="3270"/>
          <a:stretch>
            <a:fillRect/>
          </a:stretch>
        </xdr:blipFill>
        <xdr:spPr bwMode="auto">
          <a:xfrm>
            <a:off x="720" y="720"/>
            <a:ext cx="2926" cy="30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</xdr:pic>
      <xdr:sp macro="" textlink="">
        <xdr:nvSpPr>
          <xdr:cNvPr id="18435" name="Text Box 3"/>
          <xdr:cNvSpPr txBox="1">
            <a:spLocks noChangeArrowheads="1"/>
          </xdr:cNvSpPr>
        </xdr:nvSpPr>
        <xdr:spPr bwMode="auto">
          <a:xfrm>
            <a:off x="192" y="3505"/>
            <a:ext cx="1079" cy="1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Connector Bulkhead-A</a:t>
            </a:r>
          </a:p>
          <a:p>
            <a:pPr algn="l" rtl="0">
              <a:defRPr sz="1000"/>
            </a:pPr>
            <a:endParaRPr lang="en-US"/>
          </a:p>
        </xdr:txBody>
      </xdr:sp>
      <xdr:sp macro="" textlink="">
        <xdr:nvSpPr>
          <xdr:cNvPr id="18436" name="Text Box 4"/>
          <xdr:cNvSpPr txBox="1">
            <a:spLocks noChangeArrowheads="1"/>
          </xdr:cNvSpPr>
        </xdr:nvSpPr>
        <xdr:spPr bwMode="auto">
          <a:xfrm>
            <a:off x="48" y="1345"/>
            <a:ext cx="1079" cy="1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Connector Bulkhead-B</a:t>
            </a:r>
          </a:p>
          <a:p>
            <a:pPr algn="l" rtl="0">
              <a:defRPr sz="1000"/>
            </a:pPr>
            <a:endParaRPr lang="en-US"/>
          </a:p>
        </xdr:txBody>
      </xdr:sp>
      <xdr:sp macro="" textlink="">
        <xdr:nvSpPr>
          <xdr:cNvPr id="19010" name="Line 5"/>
          <xdr:cNvSpPr>
            <a:spLocks noChangeShapeType="1"/>
          </xdr:cNvSpPr>
        </xdr:nvSpPr>
        <xdr:spPr bwMode="auto">
          <a:xfrm>
            <a:off x="1104" y="1488"/>
            <a:ext cx="912" cy="8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  <xdr:sp macro="" textlink="">
        <xdr:nvSpPr>
          <xdr:cNvPr id="19011" name="Line 6"/>
          <xdr:cNvSpPr>
            <a:spLocks noChangeShapeType="1"/>
          </xdr:cNvSpPr>
        </xdr:nvSpPr>
        <xdr:spPr bwMode="auto">
          <a:xfrm flipV="1">
            <a:off x="1200" y="2832"/>
            <a:ext cx="624" cy="67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  <xdr:sp macro="" textlink="">
        <xdr:nvSpPr>
          <xdr:cNvPr id="18439" name="Text Box 7"/>
          <xdr:cNvSpPr txBox="1">
            <a:spLocks noChangeArrowheads="1"/>
          </xdr:cNvSpPr>
        </xdr:nvSpPr>
        <xdr:spPr bwMode="auto">
          <a:xfrm>
            <a:off x="3196" y="806"/>
            <a:ext cx="342" cy="17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IDPU</a:t>
            </a:r>
          </a:p>
          <a:p>
            <a:pPr algn="l" rtl="0">
              <a:defRPr sz="1000"/>
            </a:pPr>
            <a:endParaRPr lang="en-US"/>
          </a:p>
        </xdr:txBody>
      </xdr:sp>
      <xdr:sp macro="" textlink="">
        <xdr:nvSpPr>
          <xdr:cNvPr id="19013" name="Line 8"/>
          <xdr:cNvSpPr>
            <a:spLocks noChangeShapeType="1"/>
          </xdr:cNvSpPr>
        </xdr:nvSpPr>
        <xdr:spPr bwMode="auto">
          <a:xfrm flipH="1">
            <a:off x="2736" y="912"/>
            <a:ext cx="480" cy="19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</xdr:grpSp>
    <xdr:clientData/>
  </xdr:twoCellAnchor>
  <xdr:twoCellAnchor editAs="oneCell">
    <xdr:from>
      <xdr:col>8</xdr:col>
      <xdr:colOff>152400</xdr:colOff>
      <xdr:row>28</xdr:row>
      <xdr:rowOff>95250</xdr:rowOff>
    </xdr:from>
    <xdr:to>
      <xdr:col>14</xdr:col>
      <xdr:colOff>180975</xdr:colOff>
      <xdr:row>31</xdr:row>
      <xdr:rowOff>142875</xdr:rowOff>
    </xdr:to>
    <xdr:sp macro="" textlink="">
      <xdr:nvSpPr>
        <xdr:cNvPr id="18441" name="Text Box 9"/>
        <xdr:cNvSpPr txBox="1">
          <a:spLocks noChangeArrowheads="1"/>
        </xdr:cNvSpPr>
      </xdr:nvSpPr>
      <xdr:spPr bwMode="auto">
        <a:xfrm>
          <a:off x="6715125" y="4876800"/>
          <a:ext cx="3686175" cy="5334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200"/>
            </a:lnSpc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Harness Length (A&amp;B):</a:t>
          </a:r>
        </a:p>
        <a:p>
          <a:pPr algn="l" rtl="0">
            <a:lnSpc>
              <a:spcPts val="10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IDPU to Connector Bulkhead-A =  3.487m[137.291in]</a:t>
          </a:r>
        </a:p>
        <a:p>
          <a:pPr algn="l" rtl="0">
            <a:lnSpc>
              <a:spcPts val="800"/>
            </a:lnSpc>
            <a:defRPr sz="1000"/>
          </a:pPr>
          <a:endParaRPr lang="en-US"/>
        </a:p>
      </xdr:txBody>
    </xdr:sp>
    <xdr:clientData/>
  </xdr:twoCellAnchor>
  <xdr:twoCellAnchor>
    <xdr:from>
      <xdr:col>16</xdr:col>
      <xdr:colOff>9525</xdr:colOff>
      <xdr:row>69</xdr:row>
      <xdr:rowOff>66675</xdr:rowOff>
    </xdr:from>
    <xdr:to>
      <xdr:col>23</xdr:col>
      <xdr:colOff>238125</xdr:colOff>
      <xdr:row>100</xdr:row>
      <xdr:rowOff>66675</xdr:rowOff>
    </xdr:to>
    <xdr:grpSp>
      <xdr:nvGrpSpPr>
        <xdr:cNvPr id="18933" name="Group 10"/>
        <xdr:cNvGrpSpPr>
          <a:grpSpLocks/>
        </xdr:cNvGrpSpPr>
      </xdr:nvGrpSpPr>
      <xdr:grpSpPr bwMode="auto">
        <a:xfrm>
          <a:off x="11449050" y="11782425"/>
          <a:ext cx="4495800" cy="5343525"/>
          <a:chOff x="192" y="720"/>
          <a:chExt cx="2832" cy="2957"/>
        </a:xfrm>
      </xdr:grpSpPr>
      <xdr:pic>
        <xdr:nvPicPr>
          <xdr:cNvPr id="19000" name="Picture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 l="30600" t="18762" r="15794" b="4286"/>
          <a:stretch>
            <a:fillRect/>
          </a:stretch>
        </xdr:blipFill>
        <xdr:spPr bwMode="auto">
          <a:xfrm>
            <a:off x="240" y="816"/>
            <a:ext cx="2784" cy="26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</xdr:pic>
      <xdr:sp macro="" textlink="">
        <xdr:nvSpPr>
          <xdr:cNvPr id="18444" name="Text Box 12"/>
          <xdr:cNvSpPr txBox="1">
            <a:spLocks noChangeArrowheads="1"/>
          </xdr:cNvSpPr>
        </xdr:nvSpPr>
        <xdr:spPr bwMode="auto">
          <a:xfrm>
            <a:off x="192" y="3503"/>
            <a:ext cx="1080" cy="1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Connector Bulkhead-A</a:t>
            </a:r>
          </a:p>
          <a:p>
            <a:pPr algn="l" rtl="0">
              <a:lnSpc>
                <a:spcPts val="1100"/>
              </a:lnSpc>
              <a:defRPr sz="1000"/>
            </a:pPr>
            <a:endParaRPr lang="en-US"/>
          </a:p>
        </xdr:txBody>
      </xdr:sp>
      <xdr:sp macro="" textlink="">
        <xdr:nvSpPr>
          <xdr:cNvPr id="18445" name="Text Box 13"/>
          <xdr:cNvSpPr txBox="1">
            <a:spLocks noChangeArrowheads="1"/>
          </xdr:cNvSpPr>
        </xdr:nvSpPr>
        <xdr:spPr bwMode="auto">
          <a:xfrm>
            <a:off x="192" y="720"/>
            <a:ext cx="1080" cy="1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Connector Bulkhead-B</a:t>
            </a:r>
          </a:p>
          <a:p>
            <a:pPr algn="l" rtl="0">
              <a:lnSpc>
                <a:spcPts val="1100"/>
              </a:lnSpc>
              <a:defRPr sz="1000"/>
            </a:pPr>
            <a:endParaRPr lang="en-US"/>
          </a:p>
        </xdr:txBody>
      </xdr:sp>
      <xdr:sp macro="" textlink="">
        <xdr:nvSpPr>
          <xdr:cNvPr id="19003" name="Line 14"/>
          <xdr:cNvSpPr>
            <a:spLocks noChangeShapeType="1"/>
          </xdr:cNvSpPr>
        </xdr:nvSpPr>
        <xdr:spPr bwMode="auto">
          <a:xfrm flipV="1">
            <a:off x="1200" y="2640"/>
            <a:ext cx="192" cy="86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  <xdr:sp macro="" textlink="">
        <xdr:nvSpPr>
          <xdr:cNvPr id="19004" name="Line 15"/>
          <xdr:cNvSpPr>
            <a:spLocks noChangeShapeType="1"/>
          </xdr:cNvSpPr>
        </xdr:nvSpPr>
        <xdr:spPr bwMode="auto">
          <a:xfrm>
            <a:off x="1205" y="885"/>
            <a:ext cx="283" cy="98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  <xdr:sp macro="" textlink="">
        <xdr:nvSpPr>
          <xdr:cNvPr id="18448" name="Text Box 16"/>
          <xdr:cNvSpPr txBox="1">
            <a:spLocks noChangeArrowheads="1"/>
          </xdr:cNvSpPr>
        </xdr:nvSpPr>
        <xdr:spPr bwMode="auto">
          <a:xfrm>
            <a:off x="2016" y="720"/>
            <a:ext cx="540" cy="1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AXB No.5</a:t>
            </a:r>
          </a:p>
          <a:p>
            <a:pPr algn="l" rtl="0">
              <a:lnSpc>
                <a:spcPts val="1000"/>
              </a:lnSpc>
              <a:defRPr sz="1000"/>
            </a:pPr>
            <a:endParaRPr lang="en-US"/>
          </a:p>
        </xdr:txBody>
      </xdr:sp>
      <xdr:sp macro="" textlink="">
        <xdr:nvSpPr>
          <xdr:cNvPr id="19006" name="Line 17"/>
          <xdr:cNvSpPr>
            <a:spLocks noChangeShapeType="1"/>
          </xdr:cNvSpPr>
        </xdr:nvSpPr>
        <xdr:spPr bwMode="auto">
          <a:xfrm flipH="1">
            <a:off x="1632" y="864"/>
            <a:ext cx="432" cy="67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</xdr:grpSp>
    <xdr:clientData/>
  </xdr:twoCellAnchor>
  <xdr:twoCellAnchor editAs="oneCell">
    <xdr:from>
      <xdr:col>16</xdr:col>
      <xdr:colOff>57150</xdr:colOff>
      <xdr:row>66</xdr:row>
      <xdr:rowOff>76200</xdr:rowOff>
    </xdr:from>
    <xdr:to>
      <xdr:col>23</xdr:col>
      <xdr:colOff>257175</xdr:colOff>
      <xdr:row>68</xdr:row>
      <xdr:rowOff>171450</xdr:rowOff>
    </xdr:to>
    <xdr:sp macro="" textlink="">
      <xdr:nvSpPr>
        <xdr:cNvPr id="18450" name="Text Box 18"/>
        <xdr:cNvSpPr txBox="1">
          <a:spLocks noChangeArrowheads="1"/>
        </xdr:cNvSpPr>
      </xdr:nvSpPr>
      <xdr:spPr bwMode="auto">
        <a:xfrm>
          <a:off x="11496675" y="11210925"/>
          <a:ext cx="4467225" cy="4857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Harness Length (B):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Connector Bulkhead-A to Bulkhead-B (FWD) = 1.048m[41.252in]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Bulkhead-B to FWD AXB No.5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JB = 0.504m[19.850in]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JC = 0.402m[15.811in]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JD = 0.351m[13.800in]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JD to JA = 0.378m[14.864in] </a:t>
          </a:r>
        </a:p>
        <a:p>
          <a:pPr algn="l" rtl="0">
            <a:defRPr sz="1000"/>
          </a:pPr>
          <a:endParaRPr lang="en-US"/>
        </a:p>
      </xdr:txBody>
    </xdr:sp>
    <xdr:clientData/>
  </xdr:twoCellAnchor>
  <xdr:twoCellAnchor>
    <xdr:from>
      <xdr:col>8</xdr:col>
      <xdr:colOff>38100</xdr:colOff>
      <xdr:row>141</xdr:row>
      <xdr:rowOff>133350</xdr:rowOff>
    </xdr:from>
    <xdr:to>
      <xdr:col>13</xdr:col>
      <xdr:colOff>504825</xdr:colOff>
      <xdr:row>162</xdr:row>
      <xdr:rowOff>47625</xdr:rowOff>
    </xdr:to>
    <xdr:grpSp>
      <xdr:nvGrpSpPr>
        <xdr:cNvPr id="18935" name="Group 19"/>
        <xdr:cNvGrpSpPr>
          <a:grpSpLocks/>
        </xdr:cNvGrpSpPr>
      </xdr:nvGrpSpPr>
      <xdr:grpSpPr bwMode="auto">
        <a:xfrm>
          <a:off x="6600825" y="23993475"/>
          <a:ext cx="3514725" cy="3314700"/>
          <a:chOff x="3360" y="720"/>
          <a:chExt cx="2112" cy="2112"/>
        </a:xfrm>
      </xdr:grpSpPr>
      <xdr:pic>
        <xdr:nvPicPr>
          <xdr:cNvPr id="18995" name="Picture 20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 l="45406" t="19524" r="14774" b="21048"/>
          <a:stretch>
            <a:fillRect/>
          </a:stretch>
        </xdr:blipFill>
        <xdr:spPr bwMode="auto">
          <a:xfrm>
            <a:off x="3360" y="720"/>
            <a:ext cx="2112" cy="211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</xdr:pic>
      <xdr:sp macro="" textlink="">
        <xdr:nvSpPr>
          <xdr:cNvPr id="18453" name="Text Box 21"/>
          <xdr:cNvSpPr txBox="1">
            <a:spLocks noChangeArrowheads="1"/>
          </xdr:cNvSpPr>
        </xdr:nvSpPr>
        <xdr:spPr bwMode="auto">
          <a:xfrm>
            <a:off x="4058" y="1594"/>
            <a:ext cx="229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JA</a:t>
            </a:r>
          </a:p>
          <a:p>
            <a:pPr algn="l" rtl="0">
              <a:lnSpc>
                <a:spcPts val="1000"/>
              </a:lnSpc>
              <a:defRPr sz="1000"/>
            </a:pPr>
            <a:endParaRPr lang="en-US"/>
          </a:p>
        </xdr:txBody>
      </xdr:sp>
      <xdr:sp macro="" textlink="">
        <xdr:nvSpPr>
          <xdr:cNvPr id="18454" name="Text Box 22"/>
          <xdr:cNvSpPr txBox="1">
            <a:spLocks noChangeArrowheads="1"/>
          </xdr:cNvSpPr>
        </xdr:nvSpPr>
        <xdr:spPr bwMode="auto">
          <a:xfrm>
            <a:off x="4436" y="1327"/>
            <a:ext cx="229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JB</a:t>
            </a:r>
          </a:p>
          <a:p>
            <a:pPr algn="l" rtl="0">
              <a:lnSpc>
                <a:spcPts val="1000"/>
              </a:lnSpc>
              <a:defRPr sz="1000"/>
            </a:pPr>
            <a:endParaRPr lang="en-US"/>
          </a:p>
        </xdr:txBody>
      </xdr:sp>
      <xdr:sp macro="" textlink="">
        <xdr:nvSpPr>
          <xdr:cNvPr id="18455" name="Text Box 23"/>
          <xdr:cNvSpPr txBox="1">
            <a:spLocks noChangeArrowheads="1"/>
          </xdr:cNvSpPr>
        </xdr:nvSpPr>
        <xdr:spPr bwMode="auto">
          <a:xfrm>
            <a:off x="4419" y="1970"/>
            <a:ext cx="229" cy="17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JD</a:t>
            </a:r>
          </a:p>
          <a:p>
            <a:pPr algn="l" rtl="0">
              <a:lnSpc>
                <a:spcPts val="1000"/>
              </a:lnSpc>
              <a:defRPr sz="1000"/>
            </a:pPr>
            <a:endParaRPr lang="en-US"/>
          </a:p>
        </xdr:txBody>
      </xdr:sp>
      <xdr:sp macro="" textlink="">
        <xdr:nvSpPr>
          <xdr:cNvPr id="18456" name="Text Box 24"/>
          <xdr:cNvSpPr txBox="1">
            <a:spLocks noChangeArrowheads="1"/>
          </xdr:cNvSpPr>
        </xdr:nvSpPr>
        <xdr:spPr bwMode="auto">
          <a:xfrm>
            <a:off x="4705" y="1727"/>
            <a:ext cx="235" cy="17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JC</a:t>
            </a:r>
          </a:p>
          <a:p>
            <a:pPr algn="l" rtl="0">
              <a:lnSpc>
                <a:spcPts val="1000"/>
              </a:lnSpc>
              <a:defRPr sz="1000"/>
            </a:pPr>
            <a:endParaRPr lang="en-US"/>
          </a:p>
        </xdr:txBody>
      </xdr:sp>
    </xdr:grpSp>
    <xdr:clientData/>
  </xdr:twoCellAnchor>
  <xdr:twoCellAnchor editAs="oneCell">
    <xdr:from>
      <xdr:col>7</xdr:col>
      <xdr:colOff>581025</xdr:colOff>
      <xdr:row>165</xdr:row>
      <xdr:rowOff>152400</xdr:rowOff>
    </xdr:from>
    <xdr:to>
      <xdr:col>13</xdr:col>
      <xdr:colOff>47625</xdr:colOff>
      <xdr:row>171</xdr:row>
      <xdr:rowOff>66675</xdr:rowOff>
    </xdr:to>
    <xdr:sp macro="" textlink="">
      <xdr:nvSpPr>
        <xdr:cNvPr id="18457" name="Text Box 25"/>
        <xdr:cNvSpPr txBox="1">
          <a:spLocks noChangeArrowheads="1"/>
        </xdr:cNvSpPr>
      </xdr:nvSpPr>
      <xdr:spPr bwMode="auto">
        <a:xfrm>
          <a:off x="6534150" y="27898725"/>
          <a:ext cx="3124200" cy="10477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1500"/>
            </a:lnSpc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Harness Length (A&amp;B):</a:t>
          </a:r>
        </a:p>
        <a:p>
          <a:pPr algn="l" rtl="0">
            <a:lnSpc>
              <a:spcPts val="13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Bulkhead-C to AFT AXB No.6</a:t>
          </a:r>
        </a:p>
        <a:p>
          <a:pPr algn="l" rtl="0">
            <a:lnSpc>
              <a:spcPts val="13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JB = 0.356m[14.020in]</a:t>
          </a:r>
        </a:p>
        <a:p>
          <a:pPr algn="l" rtl="0">
            <a:lnSpc>
              <a:spcPts val="13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JD = 0.404m[15.897in]</a:t>
          </a:r>
        </a:p>
        <a:p>
          <a:pPr algn="l" rtl="0">
            <a:lnSpc>
              <a:spcPts val="13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JD to JA = 0.395m[15.556in] </a:t>
          </a:r>
        </a:p>
        <a:p>
          <a:pPr algn="l" rtl="0">
            <a:lnSpc>
              <a:spcPts val="1100"/>
            </a:lnSpc>
            <a:defRPr sz="1000"/>
          </a:pPr>
          <a:endParaRPr lang="en-US"/>
        </a:p>
      </xdr:txBody>
    </xdr:sp>
    <xdr:clientData/>
  </xdr:twoCellAnchor>
  <xdr:twoCellAnchor editAs="oneCell">
    <xdr:from>
      <xdr:col>8</xdr:col>
      <xdr:colOff>38100</xdr:colOff>
      <xdr:row>135</xdr:row>
      <xdr:rowOff>19050</xdr:rowOff>
    </xdr:from>
    <xdr:to>
      <xdr:col>12</xdr:col>
      <xdr:colOff>352425</xdr:colOff>
      <xdr:row>141</xdr:row>
      <xdr:rowOff>19050</xdr:rowOff>
    </xdr:to>
    <xdr:sp macro="" textlink="">
      <xdr:nvSpPr>
        <xdr:cNvPr id="18458" name="Text Box 26"/>
        <xdr:cNvSpPr txBox="1">
          <a:spLocks noChangeArrowheads="1"/>
        </xdr:cNvSpPr>
      </xdr:nvSpPr>
      <xdr:spPr bwMode="auto">
        <a:xfrm>
          <a:off x="6600825" y="22745700"/>
          <a:ext cx="2752725" cy="1133475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Harness Length (A&amp;B):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Bulkhead-B to FWD AXB No.5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JB = 0.504m[19.850in]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JD = 0.351m[13.800in]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JD to JA = 0.378m[14.864in] </a:t>
          </a:r>
        </a:p>
        <a:p>
          <a:pPr algn="l" rtl="0">
            <a:defRPr sz="1000"/>
          </a:pPr>
          <a:endParaRPr lang="en-US"/>
        </a:p>
      </xdr:txBody>
    </xdr:sp>
    <xdr:clientData/>
  </xdr:twoCellAnchor>
  <xdr:twoCellAnchor>
    <xdr:from>
      <xdr:col>8</xdr:col>
      <xdr:colOff>9525</xdr:colOff>
      <xdr:row>173</xdr:row>
      <xdr:rowOff>0</xdr:rowOff>
    </xdr:from>
    <xdr:to>
      <xdr:col>13</xdr:col>
      <xdr:colOff>457200</xdr:colOff>
      <xdr:row>192</xdr:row>
      <xdr:rowOff>133350</xdr:rowOff>
    </xdr:to>
    <xdr:grpSp>
      <xdr:nvGrpSpPr>
        <xdr:cNvPr id="18938" name="Group 27"/>
        <xdr:cNvGrpSpPr>
          <a:grpSpLocks/>
        </xdr:cNvGrpSpPr>
      </xdr:nvGrpSpPr>
      <xdr:grpSpPr bwMode="auto">
        <a:xfrm>
          <a:off x="6572250" y="29203650"/>
          <a:ext cx="3495675" cy="3209925"/>
          <a:chOff x="3408" y="768"/>
          <a:chExt cx="2112" cy="1924"/>
        </a:xfrm>
      </xdr:grpSpPr>
      <xdr:pic>
        <xdr:nvPicPr>
          <xdr:cNvPr id="18990" name="Picture 28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 l="30600" t="18762" r="17836" b="11143"/>
          <a:stretch>
            <a:fillRect/>
          </a:stretch>
        </xdr:blipFill>
        <xdr:spPr bwMode="auto">
          <a:xfrm>
            <a:off x="3408" y="768"/>
            <a:ext cx="2112" cy="19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</xdr:pic>
      <xdr:sp macro="" textlink="">
        <xdr:nvSpPr>
          <xdr:cNvPr id="18461" name="Text Box 29"/>
          <xdr:cNvSpPr txBox="1">
            <a:spLocks noChangeArrowheads="1"/>
          </xdr:cNvSpPr>
        </xdr:nvSpPr>
        <xdr:spPr bwMode="auto">
          <a:xfrm>
            <a:off x="4018" y="1699"/>
            <a:ext cx="224" cy="17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JA</a:t>
            </a:r>
          </a:p>
          <a:p>
            <a:pPr algn="l" rtl="0">
              <a:lnSpc>
                <a:spcPts val="1000"/>
              </a:lnSpc>
              <a:defRPr sz="1000"/>
            </a:pPr>
            <a:endParaRPr lang="en-US"/>
          </a:p>
        </xdr:txBody>
      </xdr:sp>
      <xdr:sp macro="" textlink="">
        <xdr:nvSpPr>
          <xdr:cNvPr id="18462" name="Text Box 30"/>
          <xdr:cNvSpPr txBox="1">
            <a:spLocks noChangeArrowheads="1"/>
          </xdr:cNvSpPr>
        </xdr:nvSpPr>
        <xdr:spPr bwMode="auto">
          <a:xfrm>
            <a:off x="4501" y="1333"/>
            <a:ext cx="230" cy="17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JB</a:t>
            </a:r>
          </a:p>
          <a:p>
            <a:pPr algn="l" rtl="0">
              <a:lnSpc>
                <a:spcPts val="1000"/>
              </a:lnSpc>
              <a:defRPr sz="1000"/>
            </a:pPr>
            <a:endParaRPr lang="en-US"/>
          </a:p>
        </xdr:txBody>
      </xdr:sp>
      <xdr:sp macro="" textlink="">
        <xdr:nvSpPr>
          <xdr:cNvPr id="18463" name="Text Box 31"/>
          <xdr:cNvSpPr txBox="1">
            <a:spLocks noChangeArrowheads="1"/>
          </xdr:cNvSpPr>
        </xdr:nvSpPr>
        <xdr:spPr bwMode="auto">
          <a:xfrm>
            <a:off x="4524" y="2172"/>
            <a:ext cx="236" cy="17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JD</a:t>
            </a:r>
          </a:p>
          <a:p>
            <a:pPr algn="l" rtl="0">
              <a:lnSpc>
                <a:spcPts val="1000"/>
              </a:lnSpc>
              <a:defRPr sz="1000"/>
            </a:pPr>
            <a:endParaRPr lang="en-US"/>
          </a:p>
        </xdr:txBody>
      </xdr:sp>
      <xdr:sp macro="" textlink="">
        <xdr:nvSpPr>
          <xdr:cNvPr id="18464" name="Text Box 32"/>
          <xdr:cNvSpPr txBox="1">
            <a:spLocks noChangeArrowheads="1"/>
          </xdr:cNvSpPr>
        </xdr:nvSpPr>
        <xdr:spPr bwMode="auto">
          <a:xfrm>
            <a:off x="4881" y="1887"/>
            <a:ext cx="236" cy="17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FFFFFF"/>
                </a:solidFill>
                <a:latin typeface="Arial"/>
                <a:cs typeface="Arial"/>
              </a:rPr>
              <a:t>JC</a:t>
            </a:r>
          </a:p>
          <a:p>
            <a:pPr algn="l" rtl="0">
              <a:lnSpc>
                <a:spcPts val="1000"/>
              </a:lnSpc>
              <a:defRPr sz="1000"/>
            </a:pPr>
            <a:endParaRPr lang="en-US"/>
          </a:p>
        </xdr:txBody>
      </xdr:sp>
    </xdr:grpSp>
    <xdr:clientData/>
  </xdr:twoCellAnchor>
  <xdr:oneCellAnchor>
    <xdr:from>
      <xdr:col>8</xdr:col>
      <xdr:colOff>19050</xdr:colOff>
      <xdr:row>195</xdr:row>
      <xdr:rowOff>19050</xdr:rowOff>
    </xdr:from>
    <xdr:ext cx="2892523" cy="1106713"/>
    <xdr:sp macro="" textlink="">
      <xdr:nvSpPr>
        <xdr:cNvPr id="18465" name="Text Box 33"/>
        <xdr:cNvSpPr txBox="1">
          <a:spLocks noChangeArrowheads="1"/>
        </xdr:cNvSpPr>
      </xdr:nvSpPr>
      <xdr:spPr bwMode="auto">
        <a:xfrm>
          <a:off x="6581775" y="32785050"/>
          <a:ext cx="2892523" cy="110671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Harness Length (A&amp;B):</a:t>
          </a:r>
        </a:p>
        <a:p>
          <a:pPr algn="l" rtl="0">
            <a:lnSpc>
              <a:spcPts val="13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IDPU to SPB No.1 = 2.937m[115.622in]</a:t>
          </a:r>
        </a:p>
        <a:p>
          <a:pPr algn="l" rtl="0">
            <a:lnSpc>
              <a:spcPts val="13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SPB No.2 = 3.206m[126.235in]</a:t>
          </a:r>
        </a:p>
        <a:p>
          <a:pPr algn="l" rtl="0">
            <a:lnSpc>
              <a:spcPts val="13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SPB No.3 = 3.828m[150.700in]</a:t>
          </a:r>
        </a:p>
        <a:p>
          <a:pPr algn="l" rtl="0">
            <a:lnSpc>
              <a:spcPts val="13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             SPB No.4 = 2.305m[90.762in] </a:t>
          </a:r>
        </a:p>
        <a:p>
          <a:pPr algn="l" rtl="0">
            <a:lnSpc>
              <a:spcPts val="1100"/>
            </a:lnSpc>
            <a:defRPr sz="1000"/>
          </a:pPr>
          <a:endParaRPr lang="en-US"/>
        </a:p>
      </xdr:txBody>
    </xdr:sp>
    <xdr:clientData/>
  </xdr:oneCellAnchor>
  <xdr:twoCellAnchor>
    <xdr:from>
      <xdr:col>7</xdr:col>
      <xdr:colOff>209550</xdr:colOff>
      <xdr:row>244</xdr:row>
      <xdr:rowOff>104775</xdr:rowOff>
    </xdr:from>
    <xdr:to>
      <xdr:col>16</xdr:col>
      <xdr:colOff>390525</xdr:colOff>
      <xdr:row>277</xdr:row>
      <xdr:rowOff>123825</xdr:rowOff>
    </xdr:to>
    <xdr:grpSp>
      <xdr:nvGrpSpPr>
        <xdr:cNvPr id="18940" name="Group 34"/>
        <xdr:cNvGrpSpPr>
          <a:grpSpLocks/>
        </xdr:cNvGrpSpPr>
      </xdr:nvGrpSpPr>
      <xdr:grpSpPr bwMode="auto">
        <a:xfrm>
          <a:off x="6162675" y="40805100"/>
          <a:ext cx="5667375" cy="5362575"/>
          <a:chOff x="928" y="240"/>
          <a:chExt cx="3570" cy="3888"/>
        </a:xfrm>
      </xdr:grpSpPr>
      <xdr:pic>
        <xdr:nvPicPr>
          <xdr:cNvPr id="18982" name="Picture 35" descr="rbsp-l_spacecraft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 l="12909" t="6706" r="24303" b="4823"/>
          <a:stretch>
            <a:fillRect/>
          </a:stretch>
        </xdr:blipFill>
        <xdr:spPr bwMode="auto">
          <a:xfrm>
            <a:off x="928" y="240"/>
            <a:ext cx="3570" cy="388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grpSp>
        <xdr:nvGrpSpPr>
          <xdr:cNvPr id="18983" name="Group 36"/>
          <xdr:cNvGrpSpPr>
            <a:grpSpLocks/>
          </xdr:cNvGrpSpPr>
        </xdr:nvGrpSpPr>
        <xdr:grpSpPr bwMode="auto">
          <a:xfrm>
            <a:off x="1584" y="1104"/>
            <a:ext cx="2208" cy="1152"/>
            <a:chOff x="1584" y="1104"/>
            <a:chExt cx="2208" cy="1152"/>
          </a:xfrm>
        </xdr:grpSpPr>
        <xdr:sp macro="" textlink="">
          <xdr:nvSpPr>
            <xdr:cNvPr id="18984" name="Line 37"/>
            <xdr:cNvSpPr>
              <a:spLocks noChangeShapeType="1"/>
            </xdr:cNvSpPr>
          </xdr:nvSpPr>
          <xdr:spPr bwMode="auto">
            <a:xfrm flipH="1">
              <a:off x="1584" y="1104"/>
              <a:ext cx="144" cy="0"/>
            </a:xfrm>
            <a:prstGeom prst="line">
              <a:avLst/>
            </a:prstGeom>
            <a:noFill/>
            <a:ln w="38100">
              <a:solidFill>
                <a:srgbClr val="CC3300"/>
              </a:solidFill>
              <a:prstDash val="lgDashDotDot"/>
              <a:round/>
              <a:headEnd/>
              <a:tailEnd/>
            </a:ln>
          </xdr:spPr>
        </xdr:sp>
        <xdr:sp macro="" textlink="">
          <xdr:nvSpPr>
            <xdr:cNvPr id="18985" name="Line 38"/>
            <xdr:cNvSpPr>
              <a:spLocks noChangeShapeType="1"/>
            </xdr:cNvSpPr>
          </xdr:nvSpPr>
          <xdr:spPr bwMode="auto">
            <a:xfrm>
              <a:off x="1584" y="1104"/>
              <a:ext cx="0" cy="933"/>
            </a:xfrm>
            <a:prstGeom prst="line">
              <a:avLst/>
            </a:prstGeom>
            <a:noFill/>
            <a:ln w="38100">
              <a:solidFill>
                <a:srgbClr val="CC3300"/>
              </a:solidFill>
              <a:prstDash val="lgDashDotDot"/>
              <a:round/>
              <a:headEnd/>
              <a:tailEnd/>
            </a:ln>
          </xdr:spPr>
        </xdr:sp>
        <xdr:sp macro="" textlink="">
          <xdr:nvSpPr>
            <xdr:cNvPr id="18986" name="Line 39"/>
            <xdr:cNvSpPr>
              <a:spLocks noChangeShapeType="1"/>
            </xdr:cNvSpPr>
          </xdr:nvSpPr>
          <xdr:spPr bwMode="auto">
            <a:xfrm>
              <a:off x="1584" y="2040"/>
              <a:ext cx="528" cy="0"/>
            </a:xfrm>
            <a:prstGeom prst="line">
              <a:avLst/>
            </a:prstGeom>
            <a:noFill/>
            <a:ln w="38100">
              <a:solidFill>
                <a:srgbClr val="CC3300"/>
              </a:solidFill>
              <a:prstDash val="lgDashDotDot"/>
              <a:round/>
              <a:headEnd/>
              <a:tailEnd/>
            </a:ln>
          </xdr:spPr>
        </xdr:sp>
        <xdr:sp macro="" textlink="">
          <xdr:nvSpPr>
            <xdr:cNvPr id="18987" name="Line 40"/>
            <xdr:cNvSpPr>
              <a:spLocks noChangeShapeType="1"/>
            </xdr:cNvSpPr>
          </xdr:nvSpPr>
          <xdr:spPr bwMode="auto">
            <a:xfrm>
              <a:off x="2112" y="2040"/>
              <a:ext cx="384" cy="216"/>
            </a:xfrm>
            <a:prstGeom prst="line">
              <a:avLst/>
            </a:prstGeom>
            <a:noFill/>
            <a:ln w="38100">
              <a:solidFill>
                <a:srgbClr val="CC3300"/>
              </a:solidFill>
              <a:prstDash val="lgDashDotDot"/>
              <a:round/>
              <a:headEnd/>
              <a:tailEnd/>
            </a:ln>
          </xdr:spPr>
        </xdr:sp>
        <xdr:sp macro="" textlink="">
          <xdr:nvSpPr>
            <xdr:cNvPr id="18988" name="Line 41"/>
            <xdr:cNvSpPr>
              <a:spLocks noChangeShapeType="1"/>
            </xdr:cNvSpPr>
          </xdr:nvSpPr>
          <xdr:spPr bwMode="auto">
            <a:xfrm>
              <a:off x="2496" y="2256"/>
              <a:ext cx="1296" cy="0"/>
            </a:xfrm>
            <a:prstGeom prst="line">
              <a:avLst/>
            </a:prstGeom>
            <a:noFill/>
            <a:ln w="38100">
              <a:solidFill>
                <a:srgbClr val="CC3300"/>
              </a:solidFill>
              <a:prstDash val="lgDashDotDot"/>
              <a:round/>
              <a:headEnd/>
              <a:tailEnd/>
            </a:ln>
          </xdr:spPr>
        </xdr:sp>
        <xdr:sp macro="" textlink="">
          <xdr:nvSpPr>
            <xdr:cNvPr id="18989" name="Line 42"/>
            <xdr:cNvSpPr>
              <a:spLocks noChangeShapeType="1"/>
            </xdr:cNvSpPr>
          </xdr:nvSpPr>
          <xdr:spPr bwMode="auto">
            <a:xfrm flipV="1">
              <a:off x="3792" y="2112"/>
              <a:ext cx="0" cy="144"/>
            </a:xfrm>
            <a:prstGeom prst="line">
              <a:avLst/>
            </a:prstGeom>
            <a:noFill/>
            <a:ln w="38100">
              <a:solidFill>
                <a:srgbClr val="CC3300"/>
              </a:solidFill>
              <a:prstDash val="lgDashDotDot"/>
              <a:round/>
              <a:headEnd/>
              <a:tailEnd/>
            </a:ln>
          </xdr:spPr>
        </xdr:sp>
      </xdr:grpSp>
    </xdr:grpSp>
    <xdr:clientData/>
  </xdr:twoCellAnchor>
  <xdr:oneCellAnchor>
    <xdr:from>
      <xdr:col>8</xdr:col>
      <xdr:colOff>66675</xdr:colOff>
      <xdr:row>240</xdr:row>
      <xdr:rowOff>76200</xdr:rowOff>
    </xdr:from>
    <xdr:ext cx="2888932" cy="607923"/>
    <xdr:sp macro="" textlink="">
      <xdr:nvSpPr>
        <xdr:cNvPr id="18475" name="Text Box 43"/>
        <xdr:cNvSpPr txBox="1">
          <a:spLocks noChangeArrowheads="1"/>
        </xdr:cNvSpPr>
      </xdr:nvSpPr>
      <xdr:spPr bwMode="auto">
        <a:xfrm>
          <a:off x="6629400" y="40128825"/>
          <a:ext cx="2888932" cy="607923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1400"/>
            </a:lnSpc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Approximate Cable Length (A&amp;B):</a:t>
          </a:r>
        </a:p>
        <a:p>
          <a:pPr algn="l" rtl="0">
            <a:lnSpc>
              <a:spcPts val="1400"/>
            </a:lnSpc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1.02m[40.00]</a:t>
          </a:r>
        </a:p>
        <a:p>
          <a:pPr algn="l" rtl="0">
            <a:defRPr sz="1000"/>
          </a:pPr>
          <a:endParaRPr lang="en-US"/>
        </a:p>
      </xdr:txBody>
    </xdr:sp>
    <xdr:clientData/>
  </xdr:oneCellAnchor>
  <xdr:twoCellAnchor editAs="oneCell">
    <xdr:from>
      <xdr:col>6</xdr:col>
      <xdr:colOff>304800</xdr:colOff>
      <xdr:row>67</xdr:row>
      <xdr:rowOff>0</xdr:rowOff>
    </xdr:from>
    <xdr:to>
      <xdr:col>14</xdr:col>
      <xdr:colOff>161925</xdr:colOff>
      <xdr:row>69</xdr:row>
      <xdr:rowOff>95250</xdr:rowOff>
    </xdr:to>
    <xdr:sp macro="" textlink="">
      <xdr:nvSpPr>
        <xdr:cNvPr id="18476" name="Rectangle 44"/>
        <xdr:cNvSpPr>
          <a:spLocks noChangeArrowheads="1"/>
        </xdr:cNvSpPr>
      </xdr:nvSpPr>
      <xdr:spPr bwMode="auto">
        <a:xfrm>
          <a:off x="5648325" y="11296650"/>
          <a:ext cx="4733925" cy="51435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Harness Length (A):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Connector Bulkhead-A to Bulkhead-B1 (FWD) = </a:t>
          </a:r>
          <a:r>
            <a:rPr lang="en-US" sz="1200" b="0" i="0" u="none" strike="noStrike" baseline="0">
              <a:solidFill>
                <a:srgbClr val="800000"/>
              </a:solidFill>
              <a:latin typeface="Arial"/>
              <a:cs typeface="Arial"/>
            </a:rPr>
            <a:t>2.043m[80.442in]</a:t>
          </a:r>
          <a:endParaRPr lang="en-US" sz="800" b="0" i="0" u="none" strike="noStrike" baseline="0">
            <a:solidFill>
              <a:srgbClr val="8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Bulkhead-B1 to FWD AXB No.5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JB = 0.504m[19.850in]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JC = 0.402m[15.811in]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JD = 0.351m[13.800in]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JD to JA = 0.378m[14.864in]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800000"/>
              </a:solidFill>
              <a:latin typeface="Arial"/>
              <a:cs typeface="Arial"/>
            </a:rPr>
            <a:t>Harness running between AXB No. 5 and Bulkhead–B1 remain the same for S/C –A and S/C –B.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800000"/>
              </a:solidFill>
              <a:latin typeface="Arial"/>
              <a:cs typeface="Arial"/>
            </a:rPr>
            <a:t>Axial deck assembly is rotated making harness lengths different.</a:t>
          </a:r>
        </a:p>
        <a:p>
          <a:pPr algn="l" rtl="0">
            <a:defRPr sz="1000"/>
          </a:pPr>
          <a:endParaRPr lang="en-US"/>
        </a:p>
      </xdr:txBody>
    </xdr:sp>
    <xdr:clientData/>
  </xdr:twoCellAnchor>
  <xdr:twoCellAnchor>
    <xdr:from>
      <xdr:col>6</xdr:col>
      <xdr:colOff>180975</xdr:colOff>
      <xdr:row>70</xdr:row>
      <xdr:rowOff>85725</xdr:rowOff>
    </xdr:from>
    <xdr:to>
      <xdr:col>14</xdr:col>
      <xdr:colOff>28575</xdr:colOff>
      <xdr:row>98</xdr:row>
      <xdr:rowOff>0</xdr:rowOff>
    </xdr:to>
    <xdr:grpSp>
      <xdr:nvGrpSpPr>
        <xdr:cNvPr id="18943" name="Group 45"/>
        <xdr:cNvGrpSpPr>
          <a:grpSpLocks/>
        </xdr:cNvGrpSpPr>
      </xdr:nvGrpSpPr>
      <xdr:grpSpPr bwMode="auto">
        <a:xfrm>
          <a:off x="5524500" y="11963400"/>
          <a:ext cx="4724400" cy="4772025"/>
          <a:chOff x="624" y="768"/>
          <a:chExt cx="2976" cy="3004"/>
        </a:xfrm>
      </xdr:grpSpPr>
      <xdr:pic>
        <xdr:nvPicPr>
          <xdr:cNvPr id="18975" name="Picture 46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</a:blip>
          <a:srcRect l="30089" t="10381" r="15285" b="10381"/>
          <a:stretch>
            <a:fillRect/>
          </a:stretch>
        </xdr:blipFill>
        <xdr:spPr bwMode="auto">
          <a:xfrm>
            <a:off x="672" y="864"/>
            <a:ext cx="2928" cy="28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</xdr:pic>
      <xdr:sp macro="" textlink="">
        <xdr:nvSpPr>
          <xdr:cNvPr id="18479" name="Text Box 47"/>
          <xdr:cNvSpPr txBox="1">
            <a:spLocks noChangeArrowheads="1"/>
          </xdr:cNvSpPr>
        </xdr:nvSpPr>
        <xdr:spPr bwMode="auto">
          <a:xfrm>
            <a:off x="624" y="3598"/>
            <a:ext cx="1080" cy="1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300"/>
              </a:lnSpc>
              <a:defRPr sz="1000"/>
            </a:pPr>
            <a:r>
              <a:rPr lang="en-US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Connector Bulkhead-A</a:t>
            </a:r>
          </a:p>
          <a:p>
            <a:pPr algn="l" rtl="0">
              <a:defRPr sz="1000"/>
            </a:pPr>
            <a:endParaRPr lang="en-US"/>
          </a:p>
        </xdr:txBody>
      </xdr:sp>
      <xdr:sp macro="" textlink="">
        <xdr:nvSpPr>
          <xdr:cNvPr id="18480" name="Text Box 48"/>
          <xdr:cNvSpPr txBox="1">
            <a:spLocks noChangeArrowheads="1"/>
          </xdr:cNvSpPr>
        </xdr:nvSpPr>
        <xdr:spPr bwMode="auto">
          <a:xfrm>
            <a:off x="720" y="768"/>
            <a:ext cx="1134" cy="1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300"/>
              </a:lnSpc>
              <a:defRPr sz="1000"/>
            </a:pPr>
            <a:r>
              <a:rPr lang="en-US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Connector Bulkhead-B1</a:t>
            </a:r>
          </a:p>
          <a:p>
            <a:pPr algn="l" rtl="0">
              <a:defRPr sz="1000"/>
            </a:pPr>
            <a:endParaRPr lang="en-US"/>
          </a:p>
        </xdr:txBody>
      </xdr:sp>
      <xdr:sp macro="" textlink="">
        <xdr:nvSpPr>
          <xdr:cNvPr id="18978" name="Line 49"/>
          <xdr:cNvSpPr>
            <a:spLocks noChangeShapeType="1"/>
          </xdr:cNvSpPr>
        </xdr:nvSpPr>
        <xdr:spPr bwMode="auto">
          <a:xfrm flipV="1">
            <a:off x="1632" y="2881"/>
            <a:ext cx="276" cy="719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  <xdr:sp macro="" textlink="">
        <xdr:nvSpPr>
          <xdr:cNvPr id="18979" name="Line 50"/>
          <xdr:cNvSpPr>
            <a:spLocks noChangeShapeType="1"/>
          </xdr:cNvSpPr>
        </xdr:nvSpPr>
        <xdr:spPr bwMode="auto">
          <a:xfrm>
            <a:off x="1772" y="946"/>
            <a:ext cx="327" cy="41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  <xdr:sp macro="" textlink="">
        <xdr:nvSpPr>
          <xdr:cNvPr id="18483" name="Text Box 51"/>
          <xdr:cNvSpPr txBox="1">
            <a:spLocks noChangeArrowheads="1"/>
          </xdr:cNvSpPr>
        </xdr:nvSpPr>
        <xdr:spPr bwMode="auto">
          <a:xfrm>
            <a:off x="2574" y="816"/>
            <a:ext cx="534" cy="1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AXB No.5</a:t>
            </a:r>
          </a:p>
          <a:p>
            <a:pPr algn="l" rtl="0">
              <a:defRPr sz="1000"/>
            </a:pPr>
            <a:endParaRPr lang="en-US"/>
          </a:p>
        </xdr:txBody>
      </xdr:sp>
      <xdr:sp macro="" textlink="">
        <xdr:nvSpPr>
          <xdr:cNvPr id="18981" name="Line 52"/>
          <xdr:cNvSpPr>
            <a:spLocks noChangeShapeType="1"/>
          </xdr:cNvSpPr>
        </xdr:nvSpPr>
        <xdr:spPr bwMode="auto">
          <a:xfrm flipH="1">
            <a:off x="2187" y="959"/>
            <a:ext cx="432" cy="67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</xdr:grpSp>
    <xdr:clientData/>
  </xdr:twoCellAnchor>
  <xdr:twoCellAnchor>
    <xdr:from>
      <xdr:col>7</xdr:col>
      <xdr:colOff>400050</xdr:colOff>
      <xdr:row>202</xdr:row>
      <xdr:rowOff>152400</xdr:rowOff>
    </xdr:from>
    <xdr:to>
      <xdr:col>16</xdr:col>
      <xdr:colOff>485775</xdr:colOff>
      <xdr:row>232</xdr:row>
      <xdr:rowOff>123825</xdr:rowOff>
    </xdr:to>
    <xdr:grpSp>
      <xdr:nvGrpSpPr>
        <xdr:cNvPr id="18944" name="Group 53"/>
        <xdr:cNvGrpSpPr>
          <a:grpSpLocks/>
        </xdr:cNvGrpSpPr>
      </xdr:nvGrpSpPr>
      <xdr:grpSpPr bwMode="auto">
        <a:xfrm>
          <a:off x="6353175" y="34051875"/>
          <a:ext cx="5572125" cy="4829175"/>
          <a:chOff x="101" y="735"/>
          <a:chExt cx="3508" cy="3038"/>
        </a:xfrm>
      </xdr:grpSpPr>
      <xdr:pic>
        <xdr:nvPicPr>
          <xdr:cNvPr id="18964" name="Picture 54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 l="31653" t="17413" r="17018" b="3206"/>
          <a:stretch>
            <a:fillRect/>
          </a:stretch>
        </xdr:blipFill>
        <xdr:spPr bwMode="auto">
          <a:xfrm>
            <a:off x="240" y="768"/>
            <a:ext cx="2845" cy="29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</xdr:pic>
      <xdr:sp macro="" textlink="">
        <xdr:nvSpPr>
          <xdr:cNvPr id="18487" name="Text Box 55"/>
          <xdr:cNvSpPr txBox="1">
            <a:spLocks noChangeArrowheads="1"/>
          </xdr:cNvSpPr>
        </xdr:nvSpPr>
        <xdr:spPr bwMode="auto">
          <a:xfrm>
            <a:off x="2446" y="3599"/>
            <a:ext cx="540" cy="1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SPB No.2</a:t>
            </a:r>
          </a:p>
          <a:p>
            <a:pPr algn="l" rtl="0">
              <a:lnSpc>
                <a:spcPts val="1000"/>
              </a:lnSpc>
              <a:defRPr sz="1000"/>
            </a:pPr>
            <a:endParaRPr lang="en-US"/>
          </a:p>
        </xdr:txBody>
      </xdr:sp>
      <xdr:sp macro="" textlink="">
        <xdr:nvSpPr>
          <xdr:cNvPr id="18488" name="Text Box 56"/>
          <xdr:cNvSpPr txBox="1">
            <a:spLocks noChangeArrowheads="1"/>
          </xdr:cNvSpPr>
        </xdr:nvSpPr>
        <xdr:spPr bwMode="auto">
          <a:xfrm>
            <a:off x="101" y="3306"/>
            <a:ext cx="540" cy="1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SPB No.3</a:t>
            </a:r>
          </a:p>
          <a:p>
            <a:pPr algn="l" rtl="0">
              <a:lnSpc>
                <a:spcPts val="1000"/>
              </a:lnSpc>
              <a:defRPr sz="1000"/>
            </a:pPr>
            <a:endParaRPr lang="en-US"/>
          </a:p>
        </xdr:txBody>
      </xdr:sp>
      <xdr:sp macro="" textlink="">
        <xdr:nvSpPr>
          <xdr:cNvPr id="18489" name="Text Box 57"/>
          <xdr:cNvSpPr txBox="1">
            <a:spLocks noChangeArrowheads="1"/>
          </xdr:cNvSpPr>
        </xdr:nvSpPr>
        <xdr:spPr bwMode="auto">
          <a:xfrm>
            <a:off x="497" y="735"/>
            <a:ext cx="534" cy="1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defRPr sz="1000"/>
            </a:pPr>
            <a:r>
              <a:rPr lang="en-US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SPB No.1</a:t>
            </a:r>
          </a:p>
          <a:p>
            <a:pPr algn="l" rtl="0">
              <a:defRPr sz="1000"/>
            </a:pPr>
            <a:endParaRPr lang="en-US"/>
          </a:p>
        </xdr:txBody>
      </xdr:sp>
      <xdr:sp macro="" textlink="">
        <xdr:nvSpPr>
          <xdr:cNvPr id="18490" name="Text Box 58"/>
          <xdr:cNvSpPr txBox="1">
            <a:spLocks noChangeArrowheads="1"/>
          </xdr:cNvSpPr>
        </xdr:nvSpPr>
        <xdr:spPr bwMode="auto">
          <a:xfrm>
            <a:off x="3069" y="1346"/>
            <a:ext cx="540" cy="1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SPB No.4</a:t>
            </a:r>
          </a:p>
          <a:p>
            <a:pPr algn="l" rtl="0">
              <a:lnSpc>
                <a:spcPts val="1000"/>
              </a:lnSpc>
              <a:defRPr sz="1000"/>
            </a:pPr>
            <a:endParaRPr lang="en-US"/>
          </a:p>
        </xdr:txBody>
      </xdr:sp>
      <xdr:sp macro="" textlink="">
        <xdr:nvSpPr>
          <xdr:cNvPr id="18969" name="Line 59"/>
          <xdr:cNvSpPr>
            <a:spLocks noChangeShapeType="1"/>
          </xdr:cNvSpPr>
        </xdr:nvSpPr>
        <xdr:spPr bwMode="auto">
          <a:xfrm flipH="1" flipV="1">
            <a:off x="2271" y="3374"/>
            <a:ext cx="219" cy="24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  <xdr:sp macro="" textlink="">
        <xdr:nvSpPr>
          <xdr:cNvPr id="18970" name="Line 60"/>
          <xdr:cNvSpPr>
            <a:spLocks noChangeShapeType="1"/>
          </xdr:cNvSpPr>
        </xdr:nvSpPr>
        <xdr:spPr bwMode="auto">
          <a:xfrm flipH="1">
            <a:off x="2880" y="1489"/>
            <a:ext cx="234" cy="17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  <xdr:sp macro="" textlink="">
        <xdr:nvSpPr>
          <xdr:cNvPr id="18971" name="Line 61"/>
          <xdr:cNvSpPr>
            <a:spLocks noChangeShapeType="1"/>
          </xdr:cNvSpPr>
        </xdr:nvSpPr>
        <xdr:spPr bwMode="auto">
          <a:xfrm flipV="1">
            <a:off x="190" y="2782"/>
            <a:ext cx="288" cy="52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  <xdr:sp macro="" textlink="">
        <xdr:nvSpPr>
          <xdr:cNvPr id="18972" name="Line 62"/>
          <xdr:cNvSpPr>
            <a:spLocks noChangeShapeType="1"/>
          </xdr:cNvSpPr>
        </xdr:nvSpPr>
        <xdr:spPr bwMode="auto">
          <a:xfrm>
            <a:off x="995" y="880"/>
            <a:ext cx="173" cy="27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  <xdr:sp macro="" textlink="">
        <xdr:nvSpPr>
          <xdr:cNvPr id="18495" name="Text Box 63"/>
          <xdr:cNvSpPr txBox="1">
            <a:spLocks noChangeArrowheads="1"/>
          </xdr:cNvSpPr>
        </xdr:nvSpPr>
        <xdr:spPr bwMode="auto">
          <a:xfrm>
            <a:off x="2644" y="765"/>
            <a:ext cx="348" cy="17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 xmlns="">
                <a:solidFill>
                  <a:srgbClr val="BBE0E3"/>
                </a:solidFill>
              </a14:hiddenFill>
            </a:ext>
            <a:ext uri="{91240B29-F687-4F45-9708-019B960494DF}">
              <a14:hiddenLine xmlns:a14="http://schemas.microsoft.com/office/drawing/2010/main" xmlns="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  <xdr:txBody>
          <a:bodyPr vertOverflow="clip" wrap="square" lIns="91440" tIns="45720" rIns="91440" bIns="45720" anchor="t" upright="1"/>
          <a:lstStyle/>
          <a:p>
            <a:pPr algn="l" rtl="0">
              <a:lnSpc>
                <a:spcPts val="1200"/>
              </a:lnSpc>
              <a:defRPr sz="1000"/>
            </a:pPr>
            <a:r>
              <a:rPr lang="en-US" sz="12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IDPU</a:t>
            </a:r>
          </a:p>
          <a:p>
            <a:pPr algn="l" rtl="0">
              <a:lnSpc>
                <a:spcPts val="1000"/>
              </a:lnSpc>
              <a:defRPr sz="1000"/>
            </a:pPr>
            <a:endParaRPr lang="en-US"/>
          </a:p>
        </xdr:txBody>
      </xdr:sp>
      <xdr:sp macro="" textlink="">
        <xdr:nvSpPr>
          <xdr:cNvPr id="18974" name="Line 64"/>
          <xdr:cNvSpPr>
            <a:spLocks noChangeShapeType="1"/>
          </xdr:cNvSpPr>
        </xdr:nvSpPr>
        <xdr:spPr bwMode="auto">
          <a:xfrm flipH="1">
            <a:off x="2187" y="874"/>
            <a:ext cx="480" cy="19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</xdr:spPr>
      </xdr:sp>
    </xdr:grpSp>
    <xdr:clientData/>
  </xdr:twoCellAnchor>
  <xdr:oneCellAnchor>
    <xdr:from>
      <xdr:col>13</xdr:col>
      <xdr:colOff>190500</xdr:colOff>
      <xdr:row>213</xdr:row>
      <xdr:rowOff>66675</xdr:rowOff>
    </xdr:from>
    <xdr:ext cx="338619" cy="451406"/>
    <xdr:sp macro="" textlink="">
      <xdr:nvSpPr>
        <xdr:cNvPr id="18497" name="Text Box 65"/>
        <xdr:cNvSpPr txBox="1">
          <a:spLocks noChangeArrowheads="1"/>
        </xdr:cNvSpPr>
      </xdr:nvSpPr>
      <xdr:spPr bwMode="auto">
        <a:xfrm>
          <a:off x="9801225" y="35747325"/>
          <a:ext cx="338619" cy="451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1800"/>
            </a:lnSpc>
            <a:defRPr sz="1000"/>
          </a:pPr>
          <a:r>
            <a:rPr lang="en-US" sz="1800" b="0" i="0" u="none" strike="noStrike" baseline="0">
              <a:solidFill>
                <a:srgbClr val="008080"/>
              </a:solidFill>
              <a:latin typeface="Arial"/>
              <a:cs typeface="Arial"/>
            </a:rPr>
            <a:t>X</a:t>
          </a:r>
        </a:p>
        <a:p>
          <a:pPr algn="l" rtl="0">
            <a:lnSpc>
              <a:spcPts val="1000"/>
            </a:lnSpc>
            <a:defRPr sz="1000"/>
          </a:pPr>
          <a:endParaRPr lang="en-US"/>
        </a:p>
      </xdr:txBody>
    </xdr:sp>
    <xdr:clientData/>
  </xdr:oneCellAnchor>
  <xdr:oneCellAnchor>
    <xdr:from>
      <xdr:col>12</xdr:col>
      <xdr:colOff>238125</xdr:colOff>
      <xdr:row>205</xdr:row>
      <xdr:rowOff>28575</xdr:rowOff>
    </xdr:from>
    <xdr:ext cx="338619" cy="451406"/>
    <xdr:sp macro="" textlink="">
      <xdr:nvSpPr>
        <xdr:cNvPr id="18498" name="Text Box 66"/>
        <xdr:cNvSpPr txBox="1">
          <a:spLocks noChangeArrowheads="1"/>
        </xdr:cNvSpPr>
      </xdr:nvSpPr>
      <xdr:spPr bwMode="auto">
        <a:xfrm>
          <a:off x="9239250" y="34413825"/>
          <a:ext cx="338619" cy="451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1800"/>
            </a:lnSpc>
            <a:defRPr sz="1000"/>
          </a:pPr>
          <a:r>
            <a:rPr lang="en-US" sz="1800" b="0" i="0" u="none" strike="noStrike" baseline="0">
              <a:solidFill>
                <a:srgbClr val="008080"/>
              </a:solidFill>
              <a:latin typeface="Arial"/>
              <a:cs typeface="Arial"/>
            </a:rPr>
            <a:t>X</a:t>
          </a:r>
        </a:p>
        <a:p>
          <a:pPr algn="l" rtl="0">
            <a:lnSpc>
              <a:spcPts val="1000"/>
            </a:lnSpc>
            <a:defRPr sz="1000"/>
          </a:pPr>
          <a:endParaRPr lang="en-US"/>
        </a:p>
      </xdr:txBody>
    </xdr:sp>
    <xdr:clientData/>
  </xdr:oneCellAnchor>
  <xdr:oneCellAnchor>
    <xdr:from>
      <xdr:col>15</xdr:col>
      <xdr:colOff>333375</xdr:colOff>
      <xdr:row>203</xdr:row>
      <xdr:rowOff>76200</xdr:rowOff>
    </xdr:from>
    <xdr:ext cx="2819041" cy="607923"/>
    <xdr:sp macro="" textlink="">
      <xdr:nvSpPr>
        <xdr:cNvPr id="18499" name="Text Box 67"/>
        <xdr:cNvSpPr txBox="1">
          <a:spLocks noChangeArrowheads="1"/>
        </xdr:cNvSpPr>
      </xdr:nvSpPr>
      <xdr:spPr bwMode="auto">
        <a:xfrm>
          <a:off x="11163300" y="34137600"/>
          <a:ext cx="2819041" cy="607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1400"/>
            </a:lnSpc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Harness length between ’</a:t>
          </a:r>
          <a:r>
            <a:rPr lang="en-US" sz="1400" b="0" i="0" u="none" strike="noStrike" baseline="0">
              <a:solidFill>
                <a:srgbClr val="008080"/>
              </a:solidFill>
              <a:latin typeface="Arial"/>
              <a:cs typeface="Arial"/>
            </a:rPr>
            <a:t>X</a:t>
          </a: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  <a:r>
            <a:rPr lang="en-US" sz="1400" b="0" i="0" u="none" strike="noStrike" baseline="0">
              <a:solidFill>
                <a:srgbClr val="008080"/>
              </a:solidFill>
              <a:latin typeface="Arial"/>
              <a:cs typeface="Arial"/>
            </a:rPr>
            <a:t>X</a:t>
          </a: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’</a:t>
          </a:r>
        </a:p>
        <a:p>
          <a:pPr algn="l" rtl="0">
            <a:lnSpc>
              <a:spcPts val="1400"/>
            </a:lnSpc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is approximately </a:t>
          </a:r>
          <a:r>
            <a:rPr lang="en-US" sz="1400" b="0" i="0" u="none" strike="noStrike" baseline="0">
              <a:solidFill>
                <a:srgbClr val="800000"/>
              </a:solidFill>
              <a:latin typeface="Arial"/>
              <a:cs typeface="Arial"/>
            </a:rPr>
            <a:t>1.803m[71.00in]</a:t>
          </a:r>
        </a:p>
        <a:p>
          <a:pPr algn="l" rtl="0">
            <a:defRPr sz="1000"/>
          </a:pPr>
          <a:endParaRPr lang="en-US"/>
        </a:p>
      </xdr:txBody>
    </xdr:sp>
    <xdr:clientData/>
  </xdr:oneCellAnchor>
  <xdr:twoCellAnchor>
    <xdr:from>
      <xdr:col>16</xdr:col>
      <xdr:colOff>28575</xdr:colOff>
      <xdr:row>109</xdr:row>
      <xdr:rowOff>76200</xdr:rowOff>
    </xdr:from>
    <xdr:to>
      <xdr:col>23</xdr:col>
      <xdr:colOff>142875</xdr:colOff>
      <xdr:row>131</xdr:row>
      <xdr:rowOff>0</xdr:rowOff>
    </xdr:to>
    <xdr:pic>
      <xdr:nvPicPr>
        <xdr:cNvPr id="18948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 l="24474" t="18762" r="10689" b="4286"/>
        <a:stretch>
          <a:fillRect/>
        </a:stretch>
      </xdr:blipFill>
      <xdr:spPr bwMode="auto">
        <a:xfrm>
          <a:off x="11468100" y="18592800"/>
          <a:ext cx="438150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oneCellAnchor>
    <xdr:from>
      <xdr:col>15</xdr:col>
      <xdr:colOff>523875</xdr:colOff>
      <xdr:row>132</xdr:row>
      <xdr:rowOff>47625</xdr:rowOff>
    </xdr:from>
    <xdr:ext cx="1733167" cy="348813"/>
    <xdr:sp macro="" textlink="">
      <xdr:nvSpPr>
        <xdr:cNvPr id="18501" name="Text Box 69"/>
        <xdr:cNvSpPr txBox="1">
          <a:spLocks noChangeArrowheads="1"/>
        </xdr:cNvSpPr>
      </xdr:nvSpPr>
      <xdr:spPr bwMode="auto">
        <a:xfrm>
          <a:off x="11353800" y="22288500"/>
          <a:ext cx="1733167" cy="348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Connector Bulkhead-A</a:t>
          </a:r>
        </a:p>
        <a:p>
          <a:pPr algn="l" rtl="0">
            <a:lnSpc>
              <a:spcPts val="900"/>
            </a:lnSpc>
            <a:defRPr sz="1000"/>
          </a:pPr>
          <a:endParaRPr lang="en-US"/>
        </a:p>
      </xdr:txBody>
    </xdr:sp>
    <xdr:clientData/>
  </xdr:oneCellAnchor>
  <xdr:twoCellAnchor>
    <xdr:from>
      <xdr:col>18</xdr:col>
      <xdr:colOff>295275</xdr:colOff>
      <xdr:row>123</xdr:row>
      <xdr:rowOff>133350</xdr:rowOff>
    </xdr:from>
    <xdr:to>
      <xdr:col>18</xdr:col>
      <xdr:colOff>600075</xdr:colOff>
      <xdr:row>132</xdr:row>
      <xdr:rowOff>47625</xdr:rowOff>
    </xdr:to>
    <xdr:sp macro="" textlink="">
      <xdr:nvSpPr>
        <xdr:cNvPr id="18950" name="Line 70"/>
        <xdr:cNvSpPr>
          <a:spLocks noChangeShapeType="1"/>
        </xdr:cNvSpPr>
      </xdr:nvSpPr>
      <xdr:spPr bwMode="auto">
        <a:xfrm flipV="1">
          <a:off x="12954000" y="20916900"/>
          <a:ext cx="304800" cy="13716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oneCellAnchor>
    <xdr:from>
      <xdr:col>16</xdr:col>
      <xdr:colOff>371475</xdr:colOff>
      <xdr:row>106</xdr:row>
      <xdr:rowOff>57150</xdr:rowOff>
    </xdr:from>
    <xdr:ext cx="1741631" cy="348813"/>
    <xdr:sp macro="" textlink="">
      <xdr:nvSpPr>
        <xdr:cNvPr id="18503" name="Text Box 71"/>
        <xdr:cNvSpPr txBox="1">
          <a:spLocks noChangeArrowheads="1"/>
        </xdr:cNvSpPr>
      </xdr:nvSpPr>
      <xdr:spPr bwMode="auto">
        <a:xfrm>
          <a:off x="11811000" y="18087975"/>
          <a:ext cx="1741631" cy="348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Connector Bulkhead-C</a:t>
          </a:r>
        </a:p>
        <a:p>
          <a:pPr algn="l" rtl="0">
            <a:lnSpc>
              <a:spcPts val="900"/>
            </a:lnSpc>
            <a:defRPr sz="1000"/>
          </a:pPr>
          <a:endParaRPr lang="en-US"/>
        </a:p>
      </xdr:txBody>
    </xdr:sp>
    <xdr:clientData/>
  </xdr:oneCellAnchor>
  <xdr:twoCellAnchor>
    <xdr:from>
      <xdr:col>19</xdr:col>
      <xdr:colOff>219075</xdr:colOff>
      <xdr:row>107</xdr:row>
      <xdr:rowOff>114300</xdr:rowOff>
    </xdr:from>
    <xdr:to>
      <xdr:col>20</xdr:col>
      <xdr:colOff>333375</xdr:colOff>
      <xdr:row>112</xdr:row>
      <xdr:rowOff>47625</xdr:rowOff>
    </xdr:to>
    <xdr:sp macro="" textlink="">
      <xdr:nvSpPr>
        <xdr:cNvPr id="18952" name="Line 72"/>
        <xdr:cNvSpPr>
          <a:spLocks noChangeShapeType="1"/>
        </xdr:cNvSpPr>
      </xdr:nvSpPr>
      <xdr:spPr bwMode="auto">
        <a:xfrm>
          <a:off x="13487400" y="18307050"/>
          <a:ext cx="723900" cy="7429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oneCellAnchor>
    <xdr:from>
      <xdr:col>16</xdr:col>
      <xdr:colOff>257175</xdr:colOff>
      <xdr:row>108</xdr:row>
      <xdr:rowOff>85725</xdr:rowOff>
    </xdr:from>
    <xdr:ext cx="860492" cy="348813"/>
    <xdr:sp macro="" textlink="">
      <xdr:nvSpPr>
        <xdr:cNvPr id="18505" name="Text Box 73"/>
        <xdr:cNvSpPr txBox="1">
          <a:spLocks noChangeArrowheads="1"/>
        </xdr:cNvSpPr>
      </xdr:nvSpPr>
      <xdr:spPr bwMode="auto">
        <a:xfrm>
          <a:off x="11696700" y="18440400"/>
          <a:ext cx="860492" cy="348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AXB No.6</a:t>
          </a:r>
        </a:p>
        <a:p>
          <a:pPr algn="l" rtl="0">
            <a:lnSpc>
              <a:spcPts val="900"/>
            </a:lnSpc>
            <a:defRPr sz="1000"/>
          </a:pPr>
          <a:endParaRPr lang="en-US"/>
        </a:p>
      </xdr:txBody>
    </xdr:sp>
    <xdr:clientData/>
  </xdr:oneCellAnchor>
  <xdr:twoCellAnchor>
    <xdr:from>
      <xdr:col>17</xdr:col>
      <xdr:colOff>419100</xdr:colOff>
      <xdr:row>109</xdr:row>
      <xdr:rowOff>142875</xdr:rowOff>
    </xdr:from>
    <xdr:to>
      <xdr:col>19</xdr:col>
      <xdr:colOff>247650</xdr:colOff>
      <xdr:row>113</xdr:row>
      <xdr:rowOff>95250</xdr:rowOff>
    </xdr:to>
    <xdr:sp macro="" textlink="">
      <xdr:nvSpPr>
        <xdr:cNvPr id="18954" name="Line 74"/>
        <xdr:cNvSpPr>
          <a:spLocks noChangeShapeType="1"/>
        </xdr:cNvSpPr>
      </xdr:nvSpPr>
      <xdr:spPr bwMode="auto">
        <a:xfrm>
          <a:off x="12468225" y="18659475"/>
          <a:ext cx="1047750" cy="6000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 editAs="oneCell">
    <xdr:from>
      <xdr:col>16</xdr:col>
      <xdr:colOff>142875</xdr:colOff>
      <xdr:row>102</xdr:row>
      <xdr:rowOff>104775</xdr:rowOff>
    </xdr:from>
    <xdr:to>
      <xdr:col>23</xdr:col>
      <xdr:colOff>285750</xdr:colOff>
      <xdr:row>105</xdr:row>
      <xdr:rowOff>133350</xdr:rowOff>
    </xdr:to>
    <xdr:sp macro="" textlink="">
      <xdr:nvSpPr>
        <xdr:cNvPr id="18507" name="Text Box 75"/>
        <xdr:cNvSpPr txBox="1">
          <a:spLocks noChangeArrowheads="1"/>
        </xdr:cNvSpPr>
      </xdr:nvSpPr>
      <xdr:spPr bwMode="auto">
        <a:xfrm>
          <a:off x="11582400" y="17487900"/>
          <a:ext cx="44100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Harness Length (B):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Connector Bulkhead-A to Bulkhead-C (AFT) = 1.685m[66.319in]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Bulkhead-C to AFT AXB No.6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JB = 0.356m[14.020in]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JC = 0.318m[12.503in]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JD = 0.404m[15.897in]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JD to JA = 0.395m[15.556in] </a:t>
          </a:r>
        </a:p>
        <a:p>
          <a:pPr algn="l" rtl="0">
            <a:defRPr sz="1000"/>
          </a:pPr>
          <a:endParaRPr lang="en-US"/>
        </a:p>
      </xdr:txBody>
    </xdr:sp>
    <xdr:clientData/>
  </xdr:twoCellAnchor>
  <xdr:twoCellAnchor>
    <xdr:from>
      <xdr:col>6</xdr:col>
      <xdr:colOff>457200</xdr:colOff>
      <xdr:row>108</xdr:row>
      <xdr:rowOff>123825</xdr:rowOff>
    </xdr:from>
    <xdr:to>
      <xdr:col>14</xdr:col>
      <xdr:colOff>533400</xdr:colOff>
      <xdr:row>132</xdr:row>
      <xdr:rowOff>66675</xdr:rowOff>
    </xdr:to>
    <xdr:pic>
      <xdr:nvPicPr>
        <xdr:cNvPr id="18956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8558" t="12666" r="12732" b="19524"/>
        <a:stretch>
          <a:fillRect/>
        </a:stretch>
      </xdr:blipFill>
      <xdr:spPr bwMode="auto">
        <a:xfrm>
          <a:off x="5800725" y="18478500"/>
          <a:ext cx="4953000" cy="3829050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twoCellAnchor>
  <xdr:oneCellAnchor>
    <xdr:from>
      <xdr:col>6</xdr:col>
      <xdr:colOff>266700</xdr:colOff>
      <xdr:row>132</xdr:row>
      <xdr:rowOff>57150</xdr:rowOff>
    </xdr:from>
    <xdr:ext cx="1733167" cy="348813"/>
    <xdr:sp macro="" textlink="">
      <xdr:nvSpPr>
        <xdr:cNvPr id="18509" name="Text Box 77"/>
        <xdr:cNvSpPr txBox="1">
          <a:spLocks noChangeArrowheads="1"/>
        </xdr:cNvSpPr>
      </xdr:nvSpPr>
      <xdr:spPr bwMode="auto">
        <a:xfrm>
          <a:off x="5610225" y="22298025"/>
          <a:ext cx="1733167" cy="348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Connector Bulkhead-A</a:t>
          </a:r>
        </a:p>
        <a:p>
          <a:pPr algn="l" rtl="0">
            <a:lnSpc>
              <a:spcPts val="900"/>
            </a:lnSpc>
            <a:defRPr sz="1000"/>
          </a:pPr>
          <a:endParaRPr lang="en-US"/>
        </a:p>
      </xdr:txBody>
    </xdr:sp>
    <xdr:clientData/>
  </xdr:oneCellAnchor>
  <xdr:twoCellAnchor>
    <xdr:from>
      <xdr:col>9</xdr:col>
      <xdr:colOff>38100</xdr:colOff>
      <xdr:row>122</xdr:row>
      <xdr:rowOff>66675</xdr:rowOff>
    </xdr:from>
    <xdr:to>
      <xdr:col>10</xdr:col>
      <xdr:colOff>0</xdr:colOff>
      <xdr:row>132</xdr:row>
      <xdr:rowOff>57150</xdr:rowOff>
    </xdr:to>
    <xdr:sp macro="" textlink="">
      <xdr:nvSpPr>
        <xdr:cNvPr id="18958" name="Line 78"/>
        <xdr:cNvSpPr>
          <a:spLocks noChangeShapeType="1"/>
        </xdr:cNvSpPr>
      </xdr:nvSpPr>
      <xdr:spPr bwMode="auto">
        <a:xfrm flipV="1">
          <a:off x="7210425" y="20688300"/>
          <a:ext cx="571500" cy="16097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oneCellAnchor>
    <xdr:from>
      <xdr:col>6</xdr:col>
      <xdr:colOff>371475</xdr:colOff>
      <xdr:row>107</xdr:row>
      <xdr:rowOff>19050</xdr:rowOff>
    </xdr:from>
    <xdr:ext cx="1827231" cy="348813"/>
    <xdr:sp macro="" textlink="">
      <xdr:nvSpPr>
        <xdr:cNvPr id="18511" name="Text Box 79"/>
        <xdr:cNvSpPr txBox="1">
          <a:spLocks noChangeArrowheads="1"/>
        </xdr:cNvSpPr>
      </xdr:nvSpPr>
      <xdr:spPr bwMode="auto">
        <a:xfrm>
          <a:off x="5715000" y="18211800"/>
          <a:ext cx="1827231" cy="348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Connector Bulkhead-C1</a:t>
          </a:r>
        </a:p>
        <a:p>
          <a:pPr algn="l" rtl="0">
            <a:lnSpc>
              <a:spcPts val="900"/>
            </a:lnSpc>
            <a:defRPr sz="1000"/>
          </a:pPr>
          <a:endParaRPr lang="en-US"/>
        </a:p>
      </xdr:txBody>
    </xdr:sp>
    <xdr:clientData/>
  </xdr:oneCellAnchor>
  <xdr:twoCellAnchor>
    <xdr:from>
      <xdr:col>9</xdr:col>
      <xdr:colOff>152400</xdr:colOff>
      <xdr:row>108</xdr:row>
      <xdr:rowOff>114300</xdr:rowOff>
    </xdr:from>
    <xdr:to>
      <xdr:col>9</xdr:col>
      <xdr:colOff>438150</xdr:colOff>
      <xdr:row>114</xdr:row>
      <xdr:rowOff>0</xdr:rowOff>
    </xdr:to>
    <xdr:sp macro="" textlink="">
      <xdr:nvSpPr>
        <xdr:cNvPr id="18960" name="Line 80"/>
        <xdr:cNvSpPr>
          <a:spLocks noChangeShapeType="1"/>
        </xdr:cNvSpPr>
      </xdr:nvSpPr>
      <xdr:spPr bwMode="auto">
        <a:xfrm>
          <a:off x="7324725" y="18468975"/>
          <a:ext cx="285750" cy="8572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oneCellAnchor>
    <xdr:from>
      <xdr:col>11</xdr:col>
      <xdr:colOff>409575</xdr:colOff>
      <xdr:row>106</xdr:row>
      <xdr:rowOff>95250</xdr:rowOff>
    </xdr:from>
    <xdr:ext cx="860492" cy="348813"/>
    <xdr:sp macro="" textlink="">
      <xdr:nvSpPr>
        <xdr:cNvPr id="18513" name="Text Box 81"/>
        <xdr:cNvSpPr txBox="1">
          <a:spLocks noChangeArrowheads="1"/>
        </xdr:cNvSpPr>
      </xdr:nvSpPr>
      <xdr:spPr bwMode="auto">
        <a:xfrm>
          <a:off x="8801100" y="18126075"/>
          <a:ext cx="860492" cy="3488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none" lIns="91440" tIns="45720" rIns="91440" bIns="45720" anchor="t" upright="1">
          <a:spAutoFit/>
        </a:bodyPr>
        <a:lstStyle/>
        <a:p>
          <a:pPr algn="l" rtl="0">
            <a:lnSpc>
              <a:spcPts val="1100"/>
            </a:lnSpc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AXB No.6</a:t>
          </a:r>
        </a:p>
        <a:p>
          <a:pPr algn="l" rtl="0">
            <a:lnSpc>
              <a:spcPts val="900"/>
            </a:lnSpc>
            <a:defRPr sz="1000"/>
          </a:pPr>
          <a:endParaRPr lang="en-US"/>
        </a:p>
      </xdr:txBody>
    </xdr:sp>
    <xdr:clientData/>
  </xdr:oneCellAnchor>
  <xdr:twoCellAnchor>
    <xdr:from>
      <xdr:col>10</xdr:col>
      <xdr:colOff>590550</xdr:colOff>
      <xdr:row>107</xdr:row>
      <xdr:rowOff>142875</xdr:rowOff>
    </xdr:from>
    <xdr:to>
      <xdr:col>11</xdr:col>
      <xdr:colOff>447675</xdr:colOff>
      <xdr:row>112</xdr:row>
      <xdr:rowOff>95250</xdr:rowOff>
    </xdr:to>
    <xdr:sp macro="" textlink="">
      <xdr:nvSpPr>
        <xdr:cNvPr id="18962" name="Line 82"/>
        <xdr:cNvSpPr>
          <a:spLocks noChangeShapeType="1"/>
        </xdr:cNvSpPr>
      </xdr:nvSpPr>
      <xdr:spPr bwMode="auto">
        <a:xfrm flipH="1">
          <a:off x="8372475" y="18335625"/>
          <a:ext cx="466725" cy="7620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 editAs="oneCell">
    <xdr:from>
      <xdr:col>6</xdr:col>
      <xdr:colOff>409575</xdr:colOff>
      <xdr:row>102</xdr:row>
      <xdr:rowOff>142875</xdr:rowOff>
    </xdr:from>
    <xdr:to>
      <xdr:col>14</xdr:col>
      <xdr:colOff>266700</xdr:colOff>
      <xdr:row>106</xdr:row>
      <xdr:rowOff>28575</xdr:rowOff>
    </xdr:to>
    <xdr:sp macro="" textlink="">
      <xdr:nvSpPr>
        <xdr:cNvPr id="18515" name="Rectangle 83"/>
        <xdr:cNvSpPr>
          <a:spLocks noChangeArrowheads="1"/>
        </xdr:cNvSpPr>
      </xdr:nvSpPr>
      <xdr:spPr bwMode="auto">
        <a:xfrm>
          <a:off x="5753100" y="17526000"/>
          <a:ext cx="47339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BBE0E3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en-US" sz="1400" b="0" i="0" u="none" strike="noStrike" baseline="0">
              <a:solidFill>
                <a:srgbClr val="000000"/>
              </a:solidFill>
              <a:latin typeface="Arial"/>
              <a:cs typeface="Arial"/>
            </a:rPr>
            <a:t>Harness Length (A):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Connector Bulkhead-A to Bulkhead-C1 (FWD) = </a:t>
          </a:r>
          <a:r>
            <a:rPr lang="en-US" sz="1200" b="0" i="0" u="none" strike="noStrike" baseline="0">
              <a:solidFill>
                <a:srgbClr val="800000"/>
              </a:solidFill>
              <a:latin typeface="Arial"/>
              <a:cs typeface="Arial"/>
            </a:rPr>
            <a:t>0.702m[27.652in]</a:t>
          </a:r>
          <a:endParaRPr lang="en-US" sz="800" b="0" i="0" u="none" strike="noStrike" baseline="0">
            <a:solidFill>
              <a:srgbClr val="8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Bulkhead-C1 to FWD AXB No.6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JB = 0.356m[14.020in]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JC = 0.318m[12.503in]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JD = 0.404m[15.897in]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JD to JA = 0.395m[15.556in]</a:t>
          </a: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800000"/>
              </a:solidFill>
              <a:latin typeface="Arial"/>
              <a:cs typeface="Arial"/>
            </a:rPr>
            <a:t>Harness running between AXB No. 6 and Bulkhead–C1 remain the same for S/C –A and S/C –B.</a:t>
          </a:r>
        </a:p>
        <a:p>
          <a:pPr algn="l" rtl="0">
            <a:defRPr sz="1000"/>
          </a:pPr>
          <a:r>
            <a:rPr lang="en-US" sz="1200" b="0" i="0" u="none" strike="noStrike" baseline="0">
              <a:solidFill>
                <a:srgbClr val="800000"/>
              </a:solidFill>
              <a:latin typeface="Arial"/>
              <a:cs typeface="Arial"/>
            </a:rPr>
            <a:t>Axial deck assembly is rotated making harness lengths different.</a:t>
          </a:r>
        </a:p>
        <a:p>
          <a:pPr algn="l" rtl="0">
            <a:defRPr sz="1000"/>
          </a:pPr>
          <a:endParaRPr lang="en-US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POSALS\Imex\Imexcoax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Updates"/>
      <sheetName val="COAX"/>
      <sheetName val="RFP Wire"/>
      <sheetName val="Fine Wire"/>
      <sheetName val="wire modes"/>
      <sheetName val="Basic ACS"/>
      <sheetName val="ISSUES"/>
    </sheetNames>
    <sheetDataSet>
      <sheetData sheetId="0"/>
      <sheetData sheetId="1"/>
      <sheetData sheetId="2"/>
      <sheetData sheetId="3">
        <row r="16">
          <cell r="B16">
            <v>0</v>
          </cell>
        </row>
        <row r="17">
          <cell r="B17">
            <v>2</v>
          </cell>
        </row>
        <row r="18">
          <cell r="B18">
            <v>4</v>
          </cell>
        </row>
        <row r="19">
          <cell r="B19">
            <v>6</v>
          </cell>
        </row>
        <row r="20">
          <cell r="B20">
            <v>8</v>
          </cell>
        </row>
        <row r="21">
          <cell r="B21">
            <v>10</v>
          </cell>
        </row>
        <row r="22">
          <cell r="B22">
            <v>15</v>
          </cell>
        </row>
        <row r="23">
          <cell r="B23">
            <v>20</v>
          </cell>
        </row>
        <row r="24">
          <cell r="B24">
            <v>25</v>
          </cell>
        </row>
        <row r="25">
          <cell r="B25">
            <v>30</v>
          </cell>
        </row>
        <row r="26">
          <cell r="B26">
            <v>35</v>
          </cell>
        </row>
        <row r="27">
          <cell r="B27">
            <v>40</v>
          </cell>
        </row>
        <row r="28">
          <cell r="B28">
            <v>45</v>
          </cell>
        </row>
        <row r="29">
          <cell r="B29">
            <v>48</v>
          </cell>
        </row>
        <row r="30">
          <cell r="B30">
            <v>49</v>
          </cell>
        </row>
        <row r="31">
          <cell r="B31">
            <v>50</v>
          </cell>
          <cell r="K31" t="str">
            <v>Min Spin</v>
          </cell>
        </row>
        <row r="32">
          <cell r="B32">
            <v>50</v>
          </cell>
          <cell r="K32" t="str">
            <v>Max Spin</v>
          </cell>
          <cell r="M32">
            <v>0</v>
          </cell>
          <cell r="O32">
            <v>-62.460407417978502</v>
          </cell>
          <cell r="R32">
            <v>0</v>
          </cell>
        </row>
        <row r="33">
          <cell r="M33">
            <v>1</v>
          </cell>
          <cell r="O33">
            <v>-89.392711768064444</v>
          </cell>
          <cell r="R33">
            <v>-24.877642235349203</v>
          </cell>
        </row>
        <row r="34">
          <cell r="M34">
            <v>2</v>
          </cell>
          <cell r="O34">
            <v>-104.97022275995923</v>
          </cell>
          <cell r="R34">
            <v>-39.266746871037071</v>
          </cell>
        </row>
        <row r="35">
          <cell r="M35">
            <v>4</v>
          </cell>
          <cell r="O35">
            <v>-126.8233403692978</v>
          </cell>
          <cell r="R35">
            <v>-59.452692883874242</v>
          </cell>
        </row>
        <row r="36">
          <cell r="M36">
            <v>6</v>
          </cell>
          <cell r="O36">
            <v>-139.33977195470092</v>
          </cell>
          <cell r="R36">
            <v>-71.014247476357156</v>
          </cell>
        </row>
        <row r="37">
          <cell r="M37">
            <v>8</v>
          </cell>
          <cell r="O37">
            <v>-148.08915011091855</v>
          </cell>
          <cell r="R37">
            <v>-79.096136672424649</v>
          </cell>
        </row>
        <row r="38">
          <cell r="M38">
            <v>10</v>
          </cell>
          <cell r="O38">
            <v>-154.76288652352002</v>
          </cell>
          <cell r="R38">
            <v>-85.260734572685351</v>
          </cell>
        </row>
        <row r="39">
          <cell r="M39">
            <v>12</v>
          </cell>
          <cell r="O39">
            <v>-160.12065165462172</v>
          </cell>
          <cell r="R39">
            <v>-90.209756475155871</v>
          </cell>
        </row>
        <row r="40">
          <cell r="M40">
            <v>14</v>
          </cell>
          <cell r="O40">
            <v>-164.57133166216505</v>
          </cell>
          <cell r="R40">
            <v>-94.320894664166076</v>
          </cell>
        </row>
        <row r="41">
          <cell r="M41">
            <v>16</v>
          </cell>
          <cell r="O41">
            <v>-168.36050866332349</v>
          </cell>
          <cell r="R41">
            <v>-97.820995828028515</v>
          </cell>
        </row>
        <row r="42">
          <cell r="M42">
            <v>18</v>
          </cell>
          <cell r="O42">
            <v>-171.64713912277077</v>
          </cell>
          <cell r="R42">
            <v>-100.85688966270033</v>
          </cell>
        </row>
        <row r="43">
          <cell r="M43">
            <v>20</v>
          </cell>
          <cell r="O43">
            <v>-174.53989939504945</v>
          </cell>
          <cell r="R43">
            <v>-103.52896161729157</v>
          </cell>
        </row>
        <row r="44">
          <cell r="M44">
            <v>22</v>
          </cell>
          <cell r="O44">
            <v>-177.11627689231946</v>
          </cell>
          <cell r="R44">
            <v>-105.90878759902505</v>
          </cell>
        </row>
        <row r="45">
          <cell r="M45">
            <v>24</v>
          </cell>
          <cell r="O45">
            <v>-179.43339383532378</v>
          </cell>
          <cell r="R45">
            <v>-108.04913198160081</v>
          </cell>
        </row>
        <row r="46">
          <cell r="M46">
            <v>26</v>
          </cell>
          <cell r="O46">
            <v>-181.53451890627699</v>
          </cell>
          <cell r="R46">
            <v>-109.98996248490418</v>
          </cell>
        </row>
        <row r="47">
          <cell r="M47">
            <v>28</v>
          </cell>
          <cell r="O47">
            <v>-183.45317566851818</v>
          </cell>
          <cell r="R47">
            <v>-111.76224516383942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9:M70"/>
  <sheetViews>
    <sheetView tabSelected="1" topLeftCell="A28" workbookViewId="0">
      <selection activeCell="C71" sqref="C71"/>
    </sheetView>
  </sheetViews>
  <sheetFormatPr defaultRowHeight="12.75"/>
  <cols>
    <col min="6" max="6" width="9.42578125" bestFit="1" customWidth="1"/>
  </cols>
  <sheetData>
    <row r="9" spans="2:13">
      <c r="C9" s="462" t="s">
        <v>376</v>
      </c>
      <c r="D9" s="553" t="s">
        <v>377</v>
      </c>
      <c r="E9" s="553"/>
      <c r="F9" s="553"/>
      <c r="G9" s="553"/>
      <c r="H9" s="553"/>
      <c r="I9" s="553"/>
      <c r="J9" s="553"/>
      <c r="K9" s="553"/>
      <c r="L9" s="553"/>
      <c r="M9" s="553"/>
    </row>
    <row r="10" spans="2:13">
      <c r="B10" s="464"/>
      <c r="C10" s="465" t="s">
        <v>375</v>
      </c>
      <c r="D10" s="553" t="s">
        <v>379</v>
      </c>
      <c r="E10" s="553"/>
      <c r="F10" s="553"/>
      <c r="G10" s="553"/>
      <c r="H10" s="553"/>
      <c r="I10" s="553"/>
      <c r="J10" s="553"/>
      <c r="K10" s="553"/>
      <c r="L10" s="553"/>
      <c r="M10" s="553"/>
    </row>
    <row r="12" spans="2:13">
      <c r="C12" s="64" t="s">
        <v>179</v>
      </c>
    </row>
    <row r="13" spans="2:13">
      <c r="C13" s="64" t="s">
        <v>180</v>
      </c>
      <c r="D13" s="552" t="s">
        <v>181</v>
      </c>
      <c r="E13" s="552"/>
      <c r="F13" s="552"/>
      <c r="G13" s="552"/>
      <c r="H13" s="552"/>
      <c r="I13" s="552"/>
      <c r="J13" s="552"/>
      <c r="K13" s="552"/>
      <c r="L13" s="552"/>
      <c r="M13" s="552"/>
    </row>
    <row r="14" spans="2:13" ht="50.1" customHeight="1">
      <c r="C14" s="551" t="s">
        <v>182</v>
      </c>
      <c r="D14" s="552"/>
      <c r="E14" s="552"/>
      <c r="F14" s="552"/>
      <c r="G14" s="552"/>
      <c r="H14" s="552"/>
      <c r="I14" s="552"/>
      <c r="J14" s="552"/>
      <c r="K14" s="552"/>
      <c r="L14" s="552"/>
      <c r="M14" s="552"/>
    </row>
    <row r="15" spans="2:13">
      <c r="C15" s="64" t="s">
        <v>215</v>
      </c>
      <c r="D15" s="552" t="s">
        <v>216</v>
      </c>
      <c r="E15" s="552"/>
      <c r="F15" s="552"/>
      <c r="G15" s="552"/>
      <c r="H15" s="552"/>
      <c r="I15" s="552"/>
      <c r="J15" s="552"/>
      <c r="K15" s="552"/>
      <c r="L15" s="552"/>
      <c r="M15" s="552"/>
    </row>
    <row r="16" spans="2:13" ht="50.1" customHeight="1">
      <c r="C16" s="551" t="s">
        <v>217</v>
      </c>
      <c r="D16" s="552"/>
      <c r="E16" s="552"/>
      <c r="F16" s="552"/>
      <c r="G16" s="552"/>
      <c r="H16" s="552"/>
      <c r="I16" s="552"/>
      <c r="J16" s="552"/>
      <c r="K16" s="552"/>
      <c r="L16" s="552"/>
      <c r="M16" s="552"/>
    </row>
    <row r="17" spans="3:13">
      <c r="C17" s="64" t="s">
        <v>237</v>
      </c>
      <c r="D17" s="552" t="s">
        <v>216</v>
      </c>
      <c r="E17" s="552"/>
      <c r="F17" s="552"/>
      <c r="G17" s="552"/>
      <c r="H17" s="552"/>
      <c r="I17" s="552"/>
      <c r="J17" s="552"/>
      <c r="K17" s="552"/>
      <c r="L17" s="552"/>
      <c r="M17" s="552"/>
    </row>
    <row r="18" spans="3:13" ht="50.1" customHeight="1">
      <c r="C18" s="551" t="s">
        <v>238</v>
      </c>
      <c r="D18" s="552"/>
      <c r="E18" s="552"/>
      <c r="F18" s="552"/>
      <c r="G18" s="552"/>
      <c r="H18" s="552"/>
      <c r="I18" s="552"/>
      <c r="J18" s="552"/>
      <c r="K18" s="552"/>
      <c r="L18" s="552"/>
      <c r="M18" s="552"/>
    </row>
    <row r="19" spans="3:13">
      <c r="C19" s="463" t="s">
        <v>378</v>
      </c>
      <c r="D19" s="552" t="s">
        <v>381</v>
      </c>
      <c r="E19" s="552"/>
      <c r="F19" s="552"/>
      <c r="G19" s="552"/>
      <c r="H19" s="552"/>
      <c r="I19" s="552"/>
      <c r="J19" s="552"/>
      <c r="K19" s="552"/>
      <c r="L19" s="552"/>
      <c r="M19" s="552"/>
    </row>
    <row r="20" spans="3:13">
      <c r="C20" t="s">
        <v>384</v>
      </c>
    </row>
    <row r="22" spans="3:13">
      <c r="C22" s="64" t="s">
        <v>380</v>
      </c>
      <c r="D22" s="552" t="s">
        <v>382</v>
      </c>
      <c r="E22" s="552"/>
      <c r="F22" s="552"/>
      <c r="G22" s="552"/>
      <c r="H22" s="552"/>
      <c r="I22" s="552"/>
      <c r="J22" s="552"/>
      <c r="K22" s="552"/>
      <c r="L22" s="552"/>
      <c r="M22" s="552"/>
    </row>
    <row r="23" spans="3:13">
      <c r="C23" t="s">
        <v>383</v>
      </c>
    </row>
    <row r="25" spans="3:13">
      <c r="C25" s="64" t="s">
        <v>385</v>
      </c>
      <c r="D25" t="s">
        <v>386</v>
      </c>
    </row>
    <row r="26" spans="3:13">
      <c r="C26" t="s">
        <v>387</v>
      </c>
    </row>
    <row r="28" spans="3:13">
      <c r="C28" s="64" t="s">
        <v>388</v>
      </c>
      <c r="D28" s="552" t="s">
        <v>389</v>
      </c>
      <c r="E28" s="552"/>
      <c r="F28" s="552"/>
      <c r="G28" s="552"/>
      <c r="H28" s="552"/>
      <c r="I28" s="552"/>
      <c r="J28" s="552"/>
      <c r="K28" s="552"/>
      <c r="L28" s="552"/>
      <c r="M28" s="552"/>
    </row>
    <row r="29" spans="3:13">
      <c r="C29" t="s">
        <v>390</v>
      </c>
    </row>
    <row r="30" spans="3:13">
      <c r="C30" t="s">
        <v>391</v>
      </c>
    </row>
    <row r="32" spans="3:13">
      <c r="C32" s="64" t="s">
        <v>479</v>
      </c>
      <c r="D32" t="s">
        <v>486</v>
      </c>
    </row>
    <row r="33" spans="3:4">
      <c r="C33" t="s">
        <v>480</v>
      </c>
    </row>
    <row r="34" spans="3:4">
      <c r="C34" t="s">
        <v>487</v>
      </c>
    </row>
    <row r="36" spans="3:4">
      <c r="C36" s="64" t="s">
        <v>492</v>
      </c>
      <c r="D36" t="s">
        <v>493</v>
      </c>
    </row>
    <row r="37" spans="3:4">
      <c r="C37" t="s">
        <v>494</v>
      </c>
    </row>
    <row r="39" spans="3:4">
      <c r="C39" s="64" t="s">
        <v>501</v>
      </c>
      <c r="D39" t="s">
        <v>516</v>
      </c>
    </row>
    <row r="40" spans="3:4">
      <c r="C40" t="s">
        <v>502</v>
      </c>
    </row>
    <row r="41" spans="3:4">
      <c r="C41" t="s">
        <v>503</v>
      </c>
    </row>
    <row r="42" spans="3:4">
      <c r="C42" t="s">
        <v>505</v>
      </c>
    </row>
    <row r="43" spans="3:4">
      <c r="C43" t="s">
        <v>508</v>
      </c>
    </row>
    <row r="45" spans="3:4">
      <c r="C45" s="64" t="s">
        <v>518</v>
      </c>
      <c r="D45" t="s">
        <v>520</v>
      </c>
    </row>
    <row r="46" spans="3:4">
      <c r="C46" t="s">
        <v>519</v>
      </c>
    </row>
    <row r="47" spans="3:4">
      <c r="C47" t="s">
        <v>522</v>
      </c>
    </row>
    <row r="48" spans="3:4">
      <c r="C48" t="s">
        <v>523</v>
      </c>
    </row>
    <row r="50" spans="3:6">
      <c r="C50" s="64" t="s">
        <v>524</v>
      </c>
      <c r="D50" t="s">
        <v>525</v>
      </c>
    </row>
    <row r="51" spans="3:6">
      <c r="C51" t="s">
        <v>526</v>
      </c>
    </row>
    <row r="53" spans="3:6">
      <c r="C53" s="64" t="s">
        <v>535</v>
      </c>
    </row>
    <row r="54" spans="3:6">
      <c r="C54" t="s">
        <v>533</v>
      </c>
    </row>
    <row r="56" spans="3:6">
      <c r="C56" s="64" t="s">
        <v>536</v>
      </c>
    </row>
    <row r="57" spans="3:6">
      <c r="C57" t="s">
        <v>534</v>
      </c>
    </row>
    <row r="61" spans="3:6">
      <c r="C61" s="2" t="s">
        <v>567</v>
      </c>
      <c r="D61" s="2" t="s">
        <v>568</v>
      </c>
      <c r="E61" s="2" t="s">
        <v>569</v>
      </c>
      <c r="F61" s="539">
        <v>41131</v>
      </c>
    </row>
    <row r="62" spans="3:6">
      <c r="C62" s="2" t="s">
        <v>570</v>
      </c>
    </row>
    <row r="63" spans="3:6">
      <c r="C63" s="2" t="s">
        <v>571</v>
      </c>
    </row>
    <row r="64" spans="3:6">
      <c r="C64" s="2" t="s">
        <v>572</v>
      </c>
    </row>
    <row r="66" spans="3:6">
      <c r="C66" t="s">
        <v>573</v>
      </c>
      <c r="D66" t="s">
        <v>568</v>
      </c>
      <c r="E66" t="s">
        <v>569</v>
      </c>
      <c r="F66" s="539">
        <v>41154</v>
      </c>
    </row>
    <row r="67" spans="3:6">
      <c r="C67" t="s">
        <v>575</v>
      </c>
    </row>
    <row r="68" spans="3:6">
      <c r="C68" t="s">
        <v>574</v>
      </c>
    </row>
    <row r="69" spans="3:6">
      <c r="C69" t="s">
        <v>593</v>
      </c>
    </row>
    <row r="70" spans="3:6">
      <c r="C70" t="s">
        <v>594</v>
      </c>
    </row>
  </sheetData>
  <mergeCells count="11">
    <mergeCell ref="C14:M14"/>
    <mergeCell ref="D15:M15"/>
    <mergeCell ref="D17:M17"/>
    <mergeCell ref="D28:M28"/>
    <mergeCell ref="D9:M9"/>
    <mergeCell ref="D19:M19"/>
    <mergeCell ref="D22:M22"/>
    <mergeCell ref="C18:M18"/>
    <mergeCell ref="C16:M16"/>
    <mergeCell ref="D13:M13"/>
    <mergeCell ref="D10:M10"/>
  </mergeCells>
  <phoneticPr fontId="9" type="noConversion"/>
  <printOptions gridLines="1"/>
  <pageMargins left="0.75" right="0.75" top="1" bottom="1" header="0.5" footer="0.5"/>
  <pageSetup fitToHeight="0" orientation="landscape" horizontalDpi="300" verticalDpi="300" r:id="rId1"/>
  <headerFooter alignWithMargins="0">
    <oddFooter>&amp;L&amp;Z&amp;F
&amp;A&amp;C&amp;P of &amp;N&amp;R&amp;D,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dimension ref="A1:AA123"/>
  <sheetViews>
    <sheetView topLeftCell="A58" workbookViewId="0">
      <selection activeCell="B95" sqref="B95"/>
    </sheetView>
  </sheetViews>
  <sheetFormatPr defaultColWidth="5.7109375" defaultRowHeight="12.75" outlineLevelRow="1"/>
  <cols>
    <col min="1" max="1" width="22.7109375" customWidth="1"/>
    <col min="2" max="2" width="6.28515625" customWidth="1"/>
    <col min="3" max="3" width="8.140625" customWidth="1"/>
    <col min="4" max="4" width="8.5703125" bestFit="1" customWidth="1"/>
    <col min="5" max="15" width="6.28515625" customWidth="1"/>
    <col min="16" max="16" width="7.5703125" customWidth="1"/>
    <col min="17" max="42" width="6.28515625" customWidth="1"/>
  </cols>
  <sheetData>
    <row r="1" spans="1:16" ht="18">
      <c r="A1" s="306" t="s">
        <v>239</v>
      </c>
      <c r="B1" s="306"/>
      <c r="C1" s="306"/>
      <c r="D1" s="306"/>
      <c r="E1" s="306"/>
      <c r="F1" s="306"/>
      <c r="G1" s="306"/>
      <c r="H1" s="306" t="s">
        <v>240</v>
      </c>
      <c r="J1" s="306"/>
      <c r="K1" s="306"/>
    </row>
    <row r="2" spans="1:16">
      <c r="A2" t="s">
        <v>497</v>
      </c>
    </row>
    <row r="3" spans="1:16" ht="51">
      <c r="A3" s="510" t="s">
        <v>241</v>
      </c>
      <c r="B3" s="510" t="s">
        <v>242</v>
      </c>
      <c r="C3" s="511" t="s">
        <v>243</v>
      </c>
      <c r="D3" s="511" t="s">
        <v>230</v>
      </c>
      <c r="E3" s="511" t="s">
        <v>359</v>
      </c>
      <c r="F3" s="511" t="s">
        <v>360</v>
      </c>
      <c r="G3" s="511" t="s">
        <v>361</v>
      </c>
      <c r="H3" s="511" t="s">
        <v>231</v>
      </c>
      <c r="I3" s="436" t="s">
        <v>362</v>
      </c>
      <c r="J3" s="8"/>
    </row>
    <row r="4" spans="1:16">
      <c r="A4" s="309" t="s">
        <v>244</v>
      </c>
      <c r="B4" s="310">
        <v>1</v>
      </c>
      <c r="C4" s="311">
        <v>2.0390000000000001</v>
      </c>
      <c r="D4" s="311">
        <v>2.0390000000000001</v>
      </c>
      <c r="E4" s="311">
        <v>0</v>
      </c>
      <c r="F4" s="311">
        <f>E4+D4</f>
        <v>2.0390000000000001</v>
      </c>
      <c r="G4" s="312">
        <f>H4/F4-1</f>
        <v>0.19372241294752324</v>
      </c>
      <c r="H4" s="311">
        <f>SUM(H5:H13)</f>
        <v>2.4340000000000002</v>
      </c>
      <c r="I4" s="554" t="s">
        <v>538</v>
      </c>
      <c r="J4" s="555"/>
      <c r="K4" s="555"/>
      <c r="L4" s="555"/>
      <c r="M4" s="555"/>
      <c r="N4" s="555"/>
      <c r="O4" s="555"/>
      <c r="P4" s="555"/>
    </row>
    <row r="5" spans="1:16" hidden="1" outlineLevel="1">
      <c r="A5" s="313" t="s">
        <v>246</v>
      </c>
      <c r="B5" s="313">
        <v>1</v>
      </c>
      <c r="C5" s="314">
        <v>0.54600000000000004</v>
      </c>
      <c r="D5" s="314">
        <v>0.54600000000000004</v>
      </c>
      <c r="E5" s="315">
        <v>0</v>
      </c>
      <c r="F5" s="315">
        <f t="shared" ref="F5:F11" si="0">E5+D5</f>
        <v>0.54600000000000004</v>
      </c>
      <c r="G5" s="316">
        <f t="shared" ref="G5:G11" si="1">H5/F5-1</f>
        <v>0.25091575091575091</v>
      </c>
      <c r="H5" s="315">
        <v>0.68300000000000005</v>
      </c>
      <c r="I5" s="438" t="s">
        <v>247</v>
      </c>
      <c r="J5" s="8"/>
      <c r="M5" s="299"/>
    </row>
    <row r="6" spans="1:16" hidden="1" outlineLevel="1">
      <c r="A6" s="313" t="s">
        <v>248</v>
      </c>
      <c r="B6" s="313">
        <v>1</v>
      </c>
      <c r="C6" s="314">
        <v>0.26300000000000001</v>
      </c>
      <c r="D6" s="314">
        <v>0.26300000000000001</v>
      </c>
      <c r="E6" s="315">
        <v>0</v>
      </c>
      <c r="F6" s="315">
        <f t="shared" si="0"/>
        <v>0.26300000000000001</v>
      </c>
      <c r="G6" s="316">
        <f t="shared" si="1"/>
        <v>0.25095057034220525</v>
      </c>
      <c r="H6" s="315">
        <v>0.32900000000000001</v>
      </c>
      <c r="I6" s="438" t="s">
        <v>245</v>
      </c>
      <c r="J6" s="8"/>
    </row>
    <row r="7" spans="1:16" hidden="1" outlineLevel="1">
      <c r="A7" s="313" t="s">
        <v>249</v>
      </c>
      <c r="B7" s="313">
        <v>1</v>
      </c>
      <c r="C7" s="314">
        <v>0.27900000000000003</v>
      </c>
      <c r="D7" s="314">
        <v>0.27900000000000003</v>
      </c>
      <c r="E7" s="315">
        <v>0</v>
      </c>
      <c r="F7" s="315">
        <f t="shared" si="0"/>
        <v>0.27900000000000003</v>
      </c>
      <c r="G7" s="316">
        <f t="shared" si="1"/>
        <v>0.25089605734766995</v>
      </c>
      <c r="H7" s="315">
        <v>0.34899999999999998</v>
      </c>
      <c r="I7" s="438" t="s">
        <v>247</v>
      </c>
      <c r="J7" s="8"/>
    </row>
    <row r="8" spans="1:16" hidden="1" outlineLevel="1">
      <c r="A8" s="313" t="s">
        <v>250</v>
      </c>
      <c r="B8" s="313">
        <v>1</v>
      </c>
      <c r="C8" s="314">
        <v>0.44600000000000001</v>
      </c>
      <c r="D8" s="314">
        <v>0.44600000000000001</v>
      </c>
      <c r="E8" s="315">
        <v>0</v>
      </c>
      <c r="F8" s="315">
        <f t="shared" si="0"/>
        <v>0.44600000000000001</v>
      </c>
      <c r="G8" s="316">
        <f t="shared" si="1"/>
        <v>0.25112107623318392</v>
      </c>
      <c r="H8" s="315">
        <v>0.55800000000000005</v>
      </c>
      <c r="I8" s="438" t="s">
        <v>251</v>
      </c>
      <c r="J8" s="8"/>
    </row>
    <row r="9" spans="1:16" hidden="1" outlineLevel="1">
      <c r="A9" s="313" t="s">
        <v>374</v>
      </c>
      <c r="B9" s="313">
        <v>1</v>
      </c>
      <c r="C9" s="314">
        <v>9.6000000000000002E-2</v>
      </c>
      <c r="D9" s="314">
        <v>9.6000000000000002E-2</v>
      </c>
      <c r="E9" s="315">
        <v>0</v>
      </c>
      <c r="F9" s="315">
        <f>E9+D9</f>
        <v>9.6000000000000002E-2</v>
      </c>
      <c r="G9" s="316">
        <f t="shared" si="1"/>
        <v>0.25</v>
      </c>
      <c r="H9" s="315">
        <v>0.12</v>
      </c>
      <c r="I9" s="438" t="s">
        <v>251</v>
      </c>
      <c r="J9" s="8"/>
    </row>
    <row r="10" spans="1:16" hidden="1" outlineLevel="1">
      <c r="A10" s="313" t="s">
        <v>368</v>
      </c>
      <c r="B10" s="313">
        <v>1</v>
      </c>
      <c r="C10" s="447">
        <f>K85*(K90/2-K89-K94+5)</f>
        <v>0.1737234188468377</v>
      </c>
      <c r="D10" s="447">
        <f>C10</f>
        <v>0.1737234188468377</v>
      </c>
      <c r="E10" s="315">
        <v>0</v>
      </c>
      <c r="F10" s="315">
        <f t="shared" si="0"/>
        <v>0.1737234188468377</v>
      </c>
      <c r="G10" s="448">
        <f t="shared" si="1"/>
        <v>0.31818727446238326</v>
      </c>
      <c r="H10" s="449">
        <v>0.22900000000000001</v>
      </c>
      <c r="I10" s="438" t="s">
        <v>251</v>
      </c>
      <c r="J10" s="8"/>
    </row>
    <row r="11" spans="1:16" hidden="1" outlineLevel="1">
      <c r="A11" s="313" t="s">
        <v>367</v>
      </c>
      <c r="B11" s="313">
        <v>1</v>
      </c>
      <c r="C11" s="447">
        <f>K88</f>
        <v>4.2999999999999997E-2</v>
      </c>
      <c r="D11" s="447">
        <f>C11</f>
        <v>4.2999999999999997E-2</v>
      </c>
      <c r="E11" s="458">
        <v>0</v>
      </c>
      <c r="F11" s="315">
        <f t="shared" si="0"/>
        <v>4.2999999999999997E-2</v>
      </c>
      <c r="G11" s="448">
        <f t="shared" si="1"/>
        <v>0.51162790697674443</v>
      </c>
      <c r="H11" s="449">
        <v>6.5000000000000002E-2</v>
      </c>
      <c r="I11" s="438" t="s">
        <v>247</v>
      </c>
      <c r="J11" s="8"/>
    </row>
    <row r="12" spans="1:16" hidden="1" outlineLevel="1">
      <c r="A12" s="313" t="s">
        <v>366</v>
      </c>
      <c r="B12" s="313">
        <v>1</v>
      </c>
      <c r="C12" s="447">
        <f>K87+K86*K89</f>
        <v>8.7129999999999999E-2</v>
      </c>
      <c r="D12" s="447">
        <f>C12</f>
        <v>8.7129999999999999E-2</v>
      </c>
      <c r="E12" s="315">
        <v>0</v>
      </c>
      <c r="F12" s="315">
        <f>E12+D12</f>
        <v>8.7129999999999999E-2</v>
      </c>
      <c r="G12" s="448">
        <f>H12/F12-1</f>
        <v>0.15918742109491579</v>
      </c>
      <c r="H12" s="449">
        <v>0.10100000000000001</v>
      </c>
      <c r="I12" s="438" t="s">
        <v>247</v>
      </c>
      <c r="J12" s="8"/>
    </row>
    <row r="13" spans="1:16" hidden="1" outlineLevel="1">
      <c r="A13" s="313" t="s">
        <v>504</v>
      </c>
      <c r="B13" s="313">
        <v>1</v>
      </c>
      <c r="C13" s="332">
        <f>2.039-SUM(C5:C12)</f>
        <v>0.10514658115316244</v>
      </c>
      <c r="D13" s="332">
        <f>2.039-SUM(D5:D12)</f>
        <v>0.10514658115316244</v>
      </c>
      <c r="E13" s="315">
        <v>0</v>
      </c>
      <c r="F13" s="315">
        <f>E13+D13</f>
        <v>0.10514658115316244</v>
      </c>
      <c r="G13" s="302"/>
      <c r="H13" s="449"/>
      <c r="I13" s="438" t="s">
        <v>521</v>
      </c>
      <c r="J13" s="8"/>
    </row>
    <row r="14" spans="1:16" collapsed="1">
      <c r="A14" s="309" t="s">
        <v>252</v>
      </c>
      <c r="B14" s="310">
        <v>1</v>
      </c>
      <c r="C14" s="311">
        <f t="shared" ref="C14:I16" si="2">C$4</f>
        <v>2.0390000000000001</v>
      </c>
      <c r="D14" s="311">
        <f t="shared" si="2"/>
        <v>2.0390000000000001</v>
      </c>
      <c r="E14" s="311">
        <f t="shared" si="2"/>
        <v>0</v>
      </c>
      <c r="F14" s="311">
        <f t="shared" si="2"/>
        <v>2.0390000000000001</v>
      </c>
      <c r="G14" s="312">
        <f t="shared" si="2"/>
        <v>0.19372241294752324</v>
      </c>
      <c r="H14" s="311">
        <f t="shared" si="2"/>
        <v>2.4340000000000002</v>
      </c>
      <c r="I14" s="556" t="str">
        <f t="shared" si="2"/>
        <v>Measured SPB SN1 Without Bolts and Thermal Treatments.</v>
      </c>
      <c r="J14" s="555"/>
      <c r="K14" s="555"/>
      <c r="L14" s="555"/>
      <c r="M14" s="555"/>
      <c r="N14" s="555"/>
      <c r="O14" s="555"/>
      <c r="P14" s="555"/>
    </row>
    <row r="15" spans="1:16">
      <c r="A15" s="309" t="s">
        <v>253</v>
      </c>
      <c r="B15" s="310">
        <v>1</v>
      </c>
      <c r="C15" s="311">
        <f t="shared" si="2"/>
        <v>2.0390000000000001</v>
      </c>
      <c r="D15" s="311">
        <f t="shared" si="2"/>
        <v>2.0390000000000001</v>
      </c>
      <c r="E15" s="311">
        <f t="shared" si="2"/>
        <v>0</v>
      </c>
      <c r="F15" s="311">
        <f t="shared" si="2"/>
        <v>2.0390000000000001</v>
      </c>
      <c r="G15" s="312">
        <f t="shared" si="2"/>
        <v>0.19372241294752324</v>
      </c>
      <c r="H15" s="311">
        <f t="shared" si="2"/>
        <v>2.4340000000000002</v>
      </c>
      <c r="I15" s="556" t="str">
        <f t="shared" si="2"/>
        <v>Measured SPB SN1 Without Bolts and Thermal Treatments.</v>
      </c>
      <c r="J15" s="555"/>
      <c r="K15" s="555"/>
      <c r="L15" s="555"/>
      <c r="M15" s="555"/>
      <c r="N15" s="555"/>
      <c r="O15" s="555"/>
      <c r="P15" s="555"/>
    </row>
    <row r="16" spans="1:16">
      <c r="A16" s="309" t="s">
        <v>254</v>
      </c>
      <c r="B16" s="310">
        <v>1</v>
      </c>
      <c r="C16" s="311">
        <f t="shared" si="2"/>
        <v>2.0390000000000001</v>
      </c>
      <c r="D16" s="311">
        <f t="shared" si="2"/>
        <v>2.0390000000000001</v>
      </c>
      <c r="E16" s="311">
        <f t="shared" si="2"/>
        <v>0</v>
      </c>
      <c r="F16" s="311">
        <f t="shared" si="2"/>
        <v>2.0390000000000001</v>
      </c>
      <c r="G16" s="312">
        <f t="shared" si="2"/>
        <v>0.19372241294752324</v>
      </c>
      <c r="H16" s="311">
        <f t="shared" si="2"/>
        <v>2.4340000000000002</v>
      </c>
      <c r="I16" s="556" t="str">
        <f t="shared" si="2"/>
        <v>Measured SPB SN1 Without Bolts and Thermal Treatments.</v>
      </c>
      <c r="J16" s="555"/>
      <c r="K16" s="555"/>
      <c r="L16" s="555"/>
      <c r="M16" s="555"/>
      <c r="N16" s="555"/>
      <c r="O16" s="555"/>
      <c r="P16" s="555"/>
    </row>
    <row r="17" spans="1:23">
      <c r="A17" s="309" t="s">
        <v>255</v>
      </c>
      <c r="B17" s="310">
        <v>1</v>
      </c>
      <c r="C17" s="311">
        <f>3.158-0.011</f>
        <v>3.1469999999999998</v>
      </c>
      <c r="D17" s="311">
        <f>3.158-0.011</f>
        <v>3.1469999999999998</v>
      </c>
      <c r="E17" s="311">
        <f>E18+E22+E29+E30+E31+E32+E33</f>
        <v>0</v>
      </c>
      <c r="F17" s="311">
        <f>C17</f>
        <v>3.1469999999999998</v>
      </c>
      <c r="G17" s="312">
        <f>H17/F17-1</f>
        <v>8.1923233608000467E-2</v>
      </c>
      <c r="H17" s="311">
        <f>H18+H22+H29+H30+H31+H32+H33</f>
        <v>3.4048124161643769</v>
      </c>
      <c r="I17" s="557" t="s">
        <v>541</v>
      </c>
      <c r="J17" s="555"/>
      <c r="K17" s="555"/>
      <c r="L17" s="555"/>
      <c r="M17" s="555"/>
      <c r="N17" s="555"/>
      <c r="O17" s="555"/>
      <c r="P17" s="555"/>
    </row>
    <row r="18" spans="1:23" hidden="1" outlineLevel="1">
      <c r="A18" s="318" t="s">
        <v>256</v>
      </c>
      <c r="B18" s="319">
        <v>1</v>
      </c>
      <c r="C18" s="455">
        <f>SUM(C19:C21)</f>
        <v>1.141</v>
      </c>
      <c r="D18" s="455">
        <f>SUM(D19:D21)</f>
        <v>1.141</v>
      </c>
      <c r="E18" s="455">
        <f>SUM(E19:E21)</f>
        <v>0</v>
      </c>
      <c r="F18" s="455">
        <f>SUM(F19:F21)</f>
        <v>1.141</v>
      </c>
      <c r="G18" s="450">
        <f>H18/F18-1</f>
        <v>6.5886166664659962E-2</v>
      </c>
      <c r="H18" s="455">
        <f>SUM(H19:H21)</f>
        <v>1.2161761161643772</v>
      </c>
      <c r="I18" s="556" t="str">
        <f t="shared" ref="I18:I29" si="3">I$4</f>
        <v>Measured SPB SN1 Without Bolts and Thermal Treatments.</v>
      </c>
      <c r="J18" s="555"/>
      <c r="K18" s="555"/>
      <c r="L18" s="555"/>
      <c r="M18" s="555"/>
      <c r="N18" s="555"/>
      <c r="O18" s="555"/>
      <c r="P18" s="555"/>
    </row>
    <row r="19" spans="1:23" hidden="1" outlineLevel="1">
      <c r="A19" s="317" t="s">
        <v>257</v>
      </c>
      <c r="B19" s="319">
        <v>1</v>
      </c>
      <c r="C19" s="321">
        <v>6.6000000000000003E-2</v>
      </c>
      <c r="D19" s="315">
        <f>C19*B19</f>
        <v>6.6000000000000003E-2</v>
      </c>
      <c r="E19" s="315">
        <v>0</v>
      </c>
      <c r="F19" s="315">
        <f>E19+D19</f>
        <v>6.6000000000000003E-2</v>
      </c>
      <c r="G19" s="450">
        <f>H19/F19-1</f>
        <v>0.14999999999999991</v>
      </c>
      <c r="H19" s="315">
        <v>7.5899999999999995E-2</v>
      </c>
      <c r="I19" s="556" t="str">
        <f t="shared" si="3"/>
        <v>Measured SPB SN1 Without Bolts and Thermal Treatments.</v>
      </c>
      <c r="J19" s="555"/>
      <c r="K19" s="555"/>
      <c r="L19" s="555"/>
      <c r="M19" s="555"/>
      <c r="N19" s="555"/>
      <c r="O19" s="555"/>
      <c r="P19" s="555"/>
    </row>
    <row r="20" spans="1:23" hidden="1" outlineLevel="1">
      <c r="A20" s="452" t="s">
        <v>258</v>
      </c>
      <c r="B20" s="319">
        <v>1</v>
      </c>
      <c r="C20" s="461">
        <v>0.999</v>
      </c>
      <c r="D20" s="315">
        <f>C20*B20</f>
        <v>0.999</v>
      </c>
      <c r="E20" s="315">
        <v>0</v>
      </c>
      <c r="F20" s="315">
        <f>E20+D20</f>
        <v>0.999</v>
      </c>
      <c r="G20" s="450">
        <f t="shared" ref="G20:G41" si="4">H20/F20-1</f>
        <v>5.3930046210587834E-2</v>
      </c>
      <c r="H20" s="315">
        <v>1.0528761161643772</v>
      </c>
      <c r="I20" s="556" t="str">
        <f t="shared" si="3"/>
        <v>Measured SPB SN1 Without Bolts and Thermal Treatments.</v>
      </c>
      <c r="J20" s="555"/>
      <c r="K20" s="555"/>
      <c r="L20" s="555"/>
      <c r="M20" s="555"/>
      <c r="N20" s="555"/>
      <c r="O20" s="555"/>
      <c r="P20" s="555"/>
    </row>
    <row r="21" spans="1:23" hidden="1" outlineLevel="1">
      <c r="A21" s="452" t="s">
        <v>259</v>
      </c>
      <c r="B21" s="319">
        <v>1</v>
      </c>
      <c r="C21" s="447">
        <f>U87</f>
        <v>7.5999999999999998E-2</v>
      </c>
      <c r="D21" s="315">
        <f>C21*B21</f>
        <v>7.5999999999999998E-2</v>
      </c>
      <c r="E21" s="315">
        <v>0</v>
      </c>
      <c r="F21" s="315">
        <f>E21+D21</f>
        <v>7.5999999999999998E-2</v>
      </c>
      <c r="G21" s="450">
        <f t="shared" si="4"/>
        <v>0.14999999999999991</v>
      </c>
      <c r="H21" s="315">
        <v>8.7399999999999992E-2</v>
      </c>
      <c r="I21" s="556" t="str">
        <f t="shared" si="3"/>
        <v>Measured SPB SN1 Without Bolts and Thermal Treatments.</v>
      </c>
      <c r="J21" s="555"/>
      <c r="K21" s="555"/>
      <c r="L21" s="555"/>
      <c r="M21" s="555"/>
      <c r="N21" s="555"/>
      <c r="O21" s="555"/>
      <c r="P21" s="555"/>
    </row>
    <row r="22" spans="1:23" hidden="1" outlineLevel="1">
      <c r="A22" s="318" t="s">
        <v>260</v>
      </c>
      <c r="B22" s="319">
        <v>1</v>
      </c>
      <c r="C22" s="455">
        <f>SUM(C23:C28)</f>
        <v>0.52500000000000002</v>
      </c>
      <c r="D22" s="455">
        <f>SUM(D23:D28)</f>
        <v>0.52500000000000002</v>
      </c>
      <c r="E22" s="455">
        <f>SUM(E23:E28)</f>
        <v>0</v>
      </c>
      <c r="F22" s="455">
        <f>SUM(F23:F28)</f>
        <v>0.52500000000000002</v>
      </c>
      <c r="G22" s="450">
        <f t="shared" si="4"/>
        <v>0.11026914285714273</v>
      </c>
      <c r="H22" s="455">
        <f>SUM(H23:H28)</f>
        <v>0.5828913</v>
      </c>
      <c r="I22" s="556" t="str">
        <f t="shared" si="3"/>
        <v>Measured SPB SN1 Without Bolts and Thermal Treatments.</v>
      </c>
      <c r="J22" s="555"/>
      <c r="K22" s="555"/>
      <c r="L22" s="555"/>
      <c r="M22" s="555"/>
      <c r="N22" s="555"/>
      <c r="O22" s="555"/>
      <c r="P22" s="555"/>
    </row>
    <row r="23" spans="1:23" hidden="1" outlineLevel="1">
      <c r="A23" s="452" t="s">
        <v>261</v>
      </c>
      <c r="B23" s="319">
        <v>1</v>
      </c>
      <c r="C23" s="451">
        <v>6.0999999999999999E-2</v>
      </c>
      <c r="D23" s="315">
        <f t="shared" ref="D23:D32" si="5">C23*B23</f>
        <v>6.0999999999999999E-2</v>
      </c>
      <c r="E23" s="315">
        <v>0</v>
      </c>
      <c r="F23" s="315">
        <f t="shared" ref="F23:F32" si="6">E23+D23</f>
        <v>6.0999999999999999E-2</v>
      </c>
      <c r="G23" s="450">
        <f t="shared" si="4"/>
        <v>7.1988524590163694E-2</v>
      </c>
      <c r="H23" s="315">
        <v>6.5391299999999986E-2</v>
      </c>
      <c r="I23" s="556" t="str">
        <f t="shared" si="3"/>
        <v>Measured SPB SN1 Without Bolts and Thermal Treatments.</v>
      </c>
      <c r="J23" s="555"/>
      <c r="K23" s="555"/>
      <c r="L23" s="555"/>
      <c r="M23" s="555"/>
      <c r="N23" s="555"/>
      <c r="O23" s="555"/>
      <c r="P23" s="555"/>
    </row>
    <row r="24" spans="1:23" hidden="1" outlineLevel="1">
      <c r="A24" s="313" t="s">
        <v>262</v>
      </c>
      <c r="B24" s="319">
        <v>1</v>
      </c>
      <c r="C24" s="314">
        <v>0.26</v>
      </c>
      <c r="D24" s="315">
        <f t="shared" si="5"/>
        <v>0.26</v>
      </c>
      <c r="E24" s="315">
        <v>0</v>
      </c>
      <c r="F24" s="315">
        <f t="shared" si="6"/>
        <v>0.26</v>
      </c>
      <c r="G24" s="450">
        <f t="shared" si="4"/>
        <v>0.14999999999999991</v>
      </c>
      <c r="H24" s="315">
        <v>0.29899999999999999</v>
      </c>
      <c r="I24" s="556" t="str">
        <f t="shared" si="3"/>
        <v>Measured SPB SN1 Without Bolts and Thermal Treatments.</v>
      </c>
      <c r="J24" s="555"/>
      <c r="K24" s="555"/>
      <c r="L24" s="555"/>
      <c r="M24" s="555"/>
      <c r="N24" s="555"/>
      <c r="O24" s="555"/>
      <c r="P24" s="555"/>
    </row>
    <row r="25" spans="1:23" hidden="1" outlineLevel="1">
      <c r="A25" s="313" t="s">
        <v>263</v>
      </c>
      <c r="B25" s="319">
        <v>1</v>
      </c>
      <c r="C25" s="323">
        <v>0.06</v>
      </c>
      <c r="D25" s="315">
        <f t="shared" si="5"/>
        <v>0.06</v>
      </c>
      <c r="E25" s="315">
        <v>0</v>
      </c>
      <c r="F25" s="315">
        <f t="shared" si="6"/>
        <v>0.06</v>
      </c>
      <c r="G25" s="450">
        <f t="shared" si="4"/>
        <v>0.14999999999999991</v>
      </c>
      <c r="H25" s="315">
        <v>6.8999999999999992E-2</v>
      </c>
      <c r="I25" s="556" t="str">
        <f t="shared" si="3"/>
        <v>Measured SPB SN1 Without Bolts and Thermal Treatments.</v>
      </c>
      <c r="J25" s="555"/>
      <c r="K25" s="555"/>
      <c r="L25" s="555"/>
      <c r="M25" s="555"/>
      <c r="N25" s="555"/>
      <c r="O25" s="555"/>
      <c r="P25" s="555"/>
    </row>
    <row r="26" spans="1:23" hidden="1" outlineLevel="1">
      <c r="A26" s="313" t="s">
        <v>264</v>
      </c>
      <c r="B26" s="319">
        <v>1</v>
      </c>
      <c r="C26" s="323">
        <v>0.08</v>
      </c>
      <c r="D26" s="315">
        <f t="shared" si="5"/>
        <v>0.08</v>
      </c>
      <c r="E26" s="315">
        <v>0</v>
      </c>
      <c r="F26" s="315">
        <f t="shared" si="6"/>
        <v>0.08</v>
      </c>
      <c r="G26" s="450">
        <f t="shared" si="4"/>
        <v>0.14999999999999991</v>
      </c>
      <c r="H26" s="315">
        <v>9.1999999999999998E-2</v>
      </c>
      <c r="I26" s="556" t="str">
        <f t="shared" si="3"/>
        <v>Measured SPB SN1 Without Bolts and Thermal Treatments.</v>
      </c>
      <c r="J26" s="555"/>
      <c r="K26" s="555"/>
      <c r="L26" s="555"/>
      <c r="M26" s="555"/>
      <c r="N26" s="555"/>
      <c r="O26" s="555"/>
      <c r="P26" s="555"/>
    </row>
    <row r="27" spans="1:23" hidden="1" outlineLevel="1">
      <c r="A27" s="313" t="s">
        <v>265</v>
      </c>
      <c r="B27" s="319">
        <v>1</v>
      </c>
      <c r="C27" s="323">
        <v>0.05</v>
      </c>
      <c r="D27" s="315">
        <f t="shared" si="5"/>
        <v>0.05</v>
      </c>
      <c r="E27" s="315">
        <v>0</v>
      </c>
      <c r="F27" s="315">
        <f>E27+D27</f>
        <v>0.05</v>
      </c>
      <c r="G27" s="450">
        <f t="shared" si="4"/>
        <v>0.14999999999999991</v>
      </c>
      <c r="H27" s="315">
        <v>5.7500000000000002E-2</v>
      </c>
      <c r="I27" s="556" t="str">
        <f t="shared" si="3"/>
        <v>Measured SPB SN1 Without Bolts and Thermal Treatments.</v>
      </c>
      <c r="J27" s="555"/>
      <c r="K27" s="555"/>
      <c r="L27" s="555"/>
      <c r="M27" s="555"/>
      <c r="N27" s="555"/>
      <c r="O27" s="555"/>
      <c r="P27" s="555"/>
    </row>
    <row r="28" spans="1:23" hidden="1" outlineLevel="1">
      <c r="A28" s="313" t="s">
        <v>504</v>
      </c>
      <c r="B28" s="319">
        <v>1</v>
      </c>
      <c r="C28" s="323">
        <v>1.4E-2</v>
      </c>
      <c r="D28" s="315">
        <f t="shared" si="5"/>
        <v>1.4E-2</v>
      </c>
      <c r="E28" s="315">
        <v>0</v>
      </c>
      <c r="F28" s="315">
        <f>E28+D28</f>
        <v>1.4E-2</v>
      </c>
      <c r="G28" s="450"/>
      <c r="H28" s="315"/>
      <c r="I28" s="556" t="str">
        <f t="shared" si="3"/>
        <v>Measured SPB SN1 Without Bolts and Thermal Treatments.</v>
      </c>
      <c r="J28" s="555"/>
      <c r="K28" s="555"/>
      <c r="L28" s="555"/>
      <c r="M28" s="555"/>
      <c r="N28" s="555"/>
      <c r="O28" s="555"/>
      <c r="P28" s="555"/>
      <c r="V28" s="498">
        <f>2.61+0.2883+0.0563+0.014</f>
        <v>2.9685999999999995</v>
      </c>
      <c r="W28" t="s">
        <v>506</v>
      </c>
    </row>
    <row r="29" spans="1:23" hidden="1" outlineLevel="1">
      <c r="A29" s="453" t="s">
        <v>371</v>
      </c>
      <c r="B29" s="324">
        <v>1</v>
      </c>
      <c r="C29" s="454">
        <f>U90</f>
        <v>0.04</v>
      </c>
      <c r="D29" s="455">
        <f t="shared" si="5"/>
        <v>0.04</v>
      </c>
      <c r="E29" s="457">
        <v>0</v>
      </c>
      <c r="F29" s="455">
        <f t="shared" si="6"/>
        <v>0.04</v>
      </c>
      <c r="G29" s="450">
        <f>H29/F29-1</f>
        <v>0.14999999999999991</v>
      </c>
      <c r="H29" s="455">
        <v>4.5999999999999999E-2</v>
      </c>
      <c r="I29" s="556" t="str">
        <f t="shared" si="3"/>
        <v>Measured SPB SN1 Without Bolts and Thermal Treatments.</v>
      </c>
      <c r="J29" s="555"/>
      <c r="K29" s="555"/>
      <c r="L29" s="555"/>
      <c r="M29" s="555"/>
      <c r="N29" s="555"/>
      <c r="O29" s="555"/>
      <c r="P29" s="555"/>
    </row>
    <row r="30" spans="1:23" hidden="1" outlineLevel="1">
      <c r="A30" s="453" t="s">
        <v>373</v>
      </c>
      <c r="B30" s="324">
        <v>1</v>
      </c>
      <c r="C30" s="454">
        <f>U89</f>
        <v>7.0000000000000001E-3</v>
      </c>
      <c r="D30" s="455">
        <f t="shared" si="5"/>
        <v>7.0000000000000001E-3</v>
      </c>
      <c r="E30" s="455">
        <v>0</v>
      </c>
      <c r="F30" s="455">
        <f t="shared" si="6"/>
        <v>7.0000000000000001E-3</v>
      </c>
      <c r="G30" s="450">
        <f t="shared" si="4"/>
        <v>0.14999999999999991</v>
      </c>
      <c r="H30" s="455">
        <v>8.0499999999999999E-3</v>
      </c>
      <c r="I30" s="556" t="str">
        <f t="shared" ref="I30:I41" si="7">I$4</f>
        <v>Measured SPB SN1 Without Bolts and Thermal Treatments.</v>
      </c>
      <c r="J30" s="555"/>
      <c r="K30" s="555"/>
      <c r="L30" s="555"/>
      <c r="M30" s="555"/>
      <c r="N30" s="555"/>
      <c r="O30" s="555"/>
      <c r="P30" s="555"/>
    </row>
    <row r="31" spans="1:23" hidden="1" outlineLevel="1">
      <c r="A31" s="453" t="s">
        <v>372</v>
      </c>
      <c r="B31" s="324">
        <v>1</v>
      </c>
      <c r="C31" s="454">
        <f>U88</f>
        <v>2.8000000000000001E-2</v>
      </c>
      <c r="D31" s="455">
        <f t="shared" si="5"/>
        <v>2.8000000000000001E-2</v>
      </c>
      <c r="E31" s="455">
        <v>0</v>
      </c>
      <c r="F31" s="455">
        <f>E31+D31</f>
        <v>2.8000000000000001E-2</v>
      </c>
      <c r="G31" s="450">
        <f>H31/F31-1</f>
        <v>0.14999999999999991</v>
      </c>
      <c r="H31" s="455">
        <v>3.2199999999999999E-2</v>
      </c>
      <c r="I31" s="556" t="str">
        <f t="shared" si="7"/>
        <v>Measured SPB SN1 Without Bolts and Thermal Treatments.</v>
      </c>
      <c r="J31" s="555"/>
      <c r="K31" s="555"/>
      <c r="L31" s="555"/>
      <c r="M31" s="555"/>
      <c r="N31" s="555"/>
      <c r="O31" s="555"/>
      <c r="P31" s="555"/>
    </row>
    <row r="32" spans="1:23" hidden="1" outlineLevel="1">
      <c r="A32" s="318" t="s">
        <v>266</v>
      </c>
      <c r="B32" s="324">
        <v>1</v>
      </c>
      <c r="C32" s="456">
        <v>0.29199999999999998</v>
      </c>
      <c r="D32" s="455">
        <f t="shared" si="5"/>
        <v>0.29199999999999998</v>
      </c>
      <c r="E32" s="455">
        <v>0</v>
      </c>
      <c r="F32" s="455">
        <f t="shared" si="6"/>
        <v>0.29199999999999998</v>
      </c>
      <c r="G32" s="450">
        <f t="shared" si="4"/>
        <v>0.13542808219178082</v>
      </c>
      <c r="H32" s="455">
        <v>0.33154499999999998</v>
      </c>
      <c r="I32" s="556" t="str">
        <f t="shared" si="7"/>
        <v>Measured SPB SN1 Without Bolts and Thermal Treatments.</v>
      </c>
      <c r="J32" s="555"/>
      <c r="K32" s="555"/>
      <c r="L32" s="555"/>
      <c r="M32" s="555"/>
      <c r="N32" s="555"/>
      <c r="O32" s="555"/>
      <c r="P32" s="555"/>
    </row>
    <row r="33" spans="1:18" hidden="1" outlineLevel="1">
      <c r="A33" s="318" t="s">
        <v>267</v>
      </c>
      <c r="B33" s="324">
        <v>1</v>
      </c>
      <c r="C33" s="455">
        <f>D33</f>
        <v>1.0330000000000001</v>
      </c>
      <c r="D33" s="455">
        <f>SUM(D34:D41)</f>
        <v>1.0330000000000001</v>
      </c>
      <c r="E33" s="455">
        <f>SUM(E34:E41)</f>
        <v>0</v>
      </c>
      <c r="F33" s="455">
        <f>SUM(F34:F41)</f>
        <v>1.0330000000000001</v>
      </c>
      <c r="G33" s="450">
        <f t="shared" si="4"/>
        <v>0.14999999999999969</v>
      </c>
      <c r="H33" s="455">
        <f>SUM(H34:H41)</f>
        <v>1.1879499999999998</v>
      </c>
      <c r="I33" s="556" t="str">
        <f t="shared" si="7"/>
        <v>Measured SPB SN1 Without Bolts and Thermal Treatments.</v>
      </c>
      <c r="J33" s="555"/>
      <c r="K33" s="555"/>
      <c r="L33" s="555"/>
      <c r="M33" s="555"/>
      <c r="N33" s="555"/>
      <c r="O33" s="555"/>
      <c r="P33" s="555"/>
    </row>
    <row r="34" spans="1:18" hidden="1" outlineLevel="1">
      <c r="A34" s="313" t="s">
        <v>268</v>
      </c>
      <c r="B34" s="324">
        <v>1</v>
      </c>
      <c r="C34" s="323">
        <v>0.11</v>
      </c>
      <c r="D34" s="315">
        <f t="shared" ref="D34:D41" si="8">C34*B34</f>
        <v>0.11</v>
      </c>
      <c r="E34" s="315">
        <v>0</v>
      </c>
      <c r="F34" s="315">
        <f t="shared" ref="F34:F40" si="9">E34+D34</f>
        <v>0.11</v>
      </c>
      <c r="G34" s="450">
        <f t="shared" si="4"/>
        <v>0.14999999999999991</v>
      </c>
      <c r="H34" s="315">
        <v>0.1265</v>
      </c>
      <c r="I34" s="556" t="str">
        <f t="shared" si="7"/>
        <v>Measured SPB SN1 Without Bolts and Thermal Treatments.</v>
      </c>
      <c r="J34" s="555"/>
      <c r="K34" s="555"/>
      <c r="L34" s="555"/>
      <c r="M34" s="555"/>
      <c r="N34" s="555"/>
      <c r="O34" s="555"/>
      <c r="P34" s="555"/>
    </row>
    <row r="35" spans="1:18" hidden="1" outlineLevel="1">
      <c r="A35" s="313" t="s">
        <v>269</v>
      </c>
      <c r="B35" s="324">
        <v>1</v>
      </c>
      <c r="C35" s="323">
        <v>0.124</v>
      </c>
      <c r="D35" s="315">
        <f t="shared" si="8"/>
        <v>0.124</v>
      </c>
      <c r="E35" s="315">
        <v>0</v>
      </c>
      <c r="F35" s="315">
        <f t="shared" si="9"/>
        <v>0.124</v>
      </c>
      <c r="G35" s="450">
        <f t="shared" si="4"/>
        <v>0.14999999999999991</v>
      </c>
      <c r="H35" s="315">
        <v>0.14259999999999998</v>
      </c>
      <c r="I35" s="556" t="str">
        <f t="shared" si="7"/>
        <v>Measured SPB SN1 Without Bolts and Thermal Treatments.</v>
      </c>
      <c r="J35" s="555"/>
      <c r="K35" s="555"/>
      <c r="L35" s="555"/>
      <c r="M35" s="555"/>
      <c r="N35" s="555"/>
      <c r="O35" s="555"/>
      <c r="P35" s="555"/>
    </row>
    <row r="36" spans="1:18" hidden="1" outlineLevel="1">
      <c r="A36" s="313" t="s">
        <v>270</v>
      </c>
      <c r="B36" s="324">
        <v>1</v>
      </c>
      <c r="C36" s="323">
        <v>0.111</v>
      </c>
      <c r="D36" s="315">
        <f t="shared" si="8"/>
        <v>0.111</v>
      </c>
      <c r="E36" s="315">
        <v>0</v>
      </c>
      <c r="F36" s="315">
        <f>E36+D36</f>
        <v>0.111</v>
      </c>
      <c r="G36" s="450">
        <f t="shared" si="4"/>
        <v>0.14999999999999991</v>
      </c>
      <c r="H36" s="315">
        <v>0.12764999999999999</v>
      </c>
      <c r="I36" s="556" t="str">
        <f t="shared" si="7"/>
        <v>Measured SPB SN1 Without Bolts and Thermal Treatments.</v>
      </c>
      <c r="J36" s="555"/>
      <c r="K36" s="555"/>
      <c r="L36" s="555"/>
      <c r="M36" s="555"/>
      <c r="N36" s="555"/>
      <c r="O36" s="555"/>
      <c r="P36" s="555"/>
    </row>
    <row r="37" spans="1:18" hidden="1" outlineLevel="1">
      <c r="A37" s="313" t="s">
        <v>271</v>
      </c>
      <c r="B37" s="324">
        <v>1</v>
      </c>
      <c r="C37" s="323">
        <v>9.7000000000000003E-2</v>
      </c>
      <c r="D37" s="315">
        <f t="shared" si="8"/>
        <v>9.7000000000000003E-2</v>
      </c>
      <c r="E37" s="315">
        <v>0</v>
      </c>
      <c r="F37" s="315">
        <f t="shared" si="9"/>
        <v>9.7000000000000003E-2</v>
      </c>
      <c r="G37" s="450">
        <f t="shared" si="4"/>
        <v>0.14999999999999991</v>
      </c>
      <c r="H37" s="315">
        <v>0.11155</v>
      </c>
      <c r="I37" s="556" t="str">
        <f t="shared" si="7"/>
        <v>Measured SPB SN1 Without Bolts and Thermal Treatments.</v>
      </c>
      <c r="J37" s="555"/>
      <c r="K37" s="555"/>
      <c r="L37" s="555"/>
      <c r="M37" s="555"/>
      <c r="N37" s="555"/>
      <c r="O37" s="555"/>
      <c r="P37" s="555"/>
    </row>
    <row r="38" spans="1:18" hidden="1" outlineLevel="1">
      <c r="A38" s="313" t="s">
        <v>272</v>
      </c>
      <c r="B38" s="324">
        <v>1</v>
      </c>
      <c r="C38" s="323">
        <v>0.17</v>
      </c>
      <c r="D38" s="315">
        <f t="shared" si="8"/>
        <v>0.17</v>
      </c>
      <c r="E38" s="315">
        <v>0</v>
      </c>
      <c r="F38" s="315">
        <f t="shared" si="9"/>
        <v>0.17</v>
      </c>
      <c r="G38" s="450">
        <f t="shared" si="4"/>
        <v>0.14999999999999991</v>
      </c>
      <c r="H38" s="315">
        <v>0.19550000000000001</v>
      </c>
      <c r="I38" s="556" t="str">
        <f t="shared" si="7"/>
        <v>Measured SPB SN1 Without Bolts and Thermal Treatments.</v>
      </c>
      <c r="J38" s="555"/>
      <c r="K38" s="555"/>
      <c r="L38" s="555"/>
      <c r="M38" s="555"/>
      <c r="N38" s="555"/>
      <c r="O38" s="555"/>
      <c r="P38" s="555"/>
    </row>
    <row r="39" spans="1:18" hidden="1" outlineLevel="1">
      <c r="A39" s="313" t="s">
        <v>273</v>
      </c>
      <c r="B39" s="324">
        <v>1</v>
      </c>
      <c r="C39" s="325">
        <v>0.30099999999999999</v>
      </c>
      <c r="D39" s="315">
        <f t="shared" si="8"/>
        <v>0.30099999999999999</v>
      </c>
      <c r="E39" s="315">
        <v>0</v>
      </c>
      <c r="F39" s="315">
        <f>E39+D39</f>
        <v>0.30099999999999999</v>
      </c>
      <c r="G39" s="450">
        <f t="shared" si="4"/>
        <v>0.14999999999999991</v>
      </c>
      <c r="H39" s="315">
        <v>0.34614999999999996</v>
      </c>
      <c r="I39" s="556" t="str">
        <f t="shared" si="7"/>
        <v>Measured SPB SN1 Without Bolts and Thermal Treatments.</v>
      </c>
      <c r="J39" s="555"/>
      <c r="K39" s="555"/>
      <c r="L39" s="555"/>
      <c r="M39" s="555"/>
      <c r="N39" s="555"/>
      <c r="O39" s="555"/>
      <c r="P39" s="555"/>
    </row>
    <row r="40" spans="1:18" hidden="1" outlineLevel="1">
      <c r="A40" s="326" t="s">
        <v>274</v>
      </c>
      <c r="B40" s="324">
        <v>3</v>
      </c>
      <c r="C40" s="322">
        <v>0.03</v>
      </c>
      <c r="D40" s="315">
        <f t="shared" si="8"/>
        <v>0.09</v>
      </c>
      <c r="E40" s="315">
        <v>0</v>
      </c>
      <c r="F40" s="315">
        <f t="shared" si="9"/>
        <v>0.09</v>
      </c>
      <c r="G40" s="450">
        <f t="shared" si="4"/>
        <v>0.14999999999999991</v>
      </c>
      <c r="H40" s="315">
        <v>0.10349999999999999</v>
      </c>
      <c r="I40" s="556" t="str">
        <f t="shared" si="7"/>
        <v>Measured SPB SN1 Without Bolts and Thermal Treatments.</v>
      </c>
      <c r="J40" s="555"/>
      <c r="K40" s="555"/>
      <c r="L40" s="555"/>
      <c r="M40" s="555"/>
      <c r="N40" s="555"/>
      <c r="O40" s="555"/>
      <c r="P40" s="555"/>
    </row>
    <row r="41" spans="1:18" hidden="1" outlineLevel="1">
      <c r="A41" s="326" t="s">
        <v>275</v>
      </c>
      <c r="B41" s="324">
        <v>3</v>
      </c>
      <c r="C41" s="322">
        <v>0.01</v>
      </c>
      <c r="D41" s="315">
        <f t="shared" si="8"/>
        <v>0.03</v>
      </c>
      <c r="E41" s="315">
        <v>0</v>
      </c>
      <c r="F41" s="315">
        <f>E41+D41</f>
        <v>0.03</v>
      </c>
      <c r="G41" s="450">
        <f t="shared" si="4"/>
        <v>0.14999999999999991</v>
      </c>
      <c r="H41" s="315">
        <v>3.4499999999999996E-2</v>
      </c>
      <c r="I41" s="556" t="str">
        <f t="shared" si="7"/>
        <v>Measured SPB SN1 Without Bolts and Thermal Treatments.</v>
      </c>
      <c r="J41" s="555"/>
      <c r="K41" s="555"/>
      <c r="L41" s="555"/>
      <c r="M41" s="555"/>
      <c r="N41" s="555"/>
      <c r="O41" s="555"/>
      <c r="P41" s="555"/>
    </row>
    <row r="42" spans="1:18" collapsed="1">
      <c r="A42" s="309" t="s">
        <v>276</v>
      </c>
      <c r="B42" s="310">
        <f t="shared" ref="B42:G42" si="10">B17</f>
        <v>1</v>
      </c>
      <c r="C42" s="311">
        <f>3.145-0.011</f>
        <v>3.1339999999999999</v>
      </c>
      <c r="D42" s="311">
        <f>3.145-0.011</f>
        <v>3.1339999999999999</v>
      </c>
      <c r="E42" s="311">
        <f t="shared" si="10"/>
        <v>0</v>
      </c>
      <c r="F42" s="311">
        <f>C42</f>
        <v>3.1339999999999999</v>
      </c>
      <c r="G42" s="312">
        <f t="shared" si="10"/>
        <v>8.1923233608000467E-2</v>
      </c>
      <c r="H42" s="311">
        <f>H17</f>
        <v>3.4048124161643769</v>
      </c>
      <c r="I42" s="557" t="s">
        <v>540</v>
      </c>
      <c r="J42" s="555"/>
      <c r="K42" s="555"/>
      <c r="L42" s="555"/>
      <c r="M42" s="555"/>
      <c r="N42" s="555"/>
      <c r="O42" s="555"/>
      <c r="P42" s="555"/>
    </row>
    <row r="43" spans="1:18">
      <c r="A43" s="327" t="s">
        <v>277</v>
      </c>
      <c r="B43" s="328">
        <v>1</v>
      </c>
      <c r="C43" s="329">
        <v>1.03</v>
      </c>
      <c r="D43" s="329">
        <f>B43*C43</f>
        <v>1.03</v>
      </c>
      <c r="E43" s="329">
        <v>0</v>
      </c>
      <c r="F43" s="329">
        <f>SUM(D43:E43)</f>
        <v>1.03</v>
      </c>
      <c r="G43" s="312">
        <f t="shared" ref="G43:G51" si="11">H43/F43-1</f>
        <v>0.25242718446601953</v>
      </c>
      <c r="H43" s="329">
        <v>1.29</v>
      </c>
      <c r="I43" s="557" t="s">
        <v>537</v>
      </c>
      <c r="J43" s="555"/>
      <c r="K43" s="555"/>
      <c r="L43" s="555"/>
      <c r="M43" s="555"/>
      <c r="N43" s="555"/>
      <c r="O43" s="555"/>
      <c r="P43" s="555"/>
    </row>
    <row r="44" spans="1:18">
      <c r="A44" s="309" t="s">
        <v>232</v>
      </c>
      <c r="B44" s="310">
        <v>1</v>
      </c>
      <c r="C44" s="311">
        <v>6.4</v>
      </c>
      <c r="D44" s="311">
        <v>6.4</v>
      </c>
      <c r="E44" s="311">
        <v>2.2000000000000002</v>
      </c>
      <c r="F44" s="311">
        <f>C44+E44</f>
        <v>8.6000000000000014</v>
      </c>
      <c r="G44" s="312">
        <f>H44/F44-1</f>
        <v>0.13112906976744165</v>
      </c>
      <c r="H44" s="311">
        <f>SUM(H45:H50)</f>
        <v>9.7277100000000001</v>
      </c>
      <c r="I44" s="554" t="s">
        <v>547</v>
      </c>
      <c r="J44" s="555"/>
      <c r="K44" s="555"/>
      <c r="L44" s="555"/>
      <c r="M44" s="555"/>
      <c r="N44" s="555"/>
      <c r="O44" s="555"/>
      <c r="P44" s="555"/>
      <c r="Q44" s="299"/>
    </row>
    <row r="45" spans="1:18" hidden="1" outlineLevel="1">
      <c r="A45" s="313" t="s">
        <v>278</v>
      </c>
      <c r="B45" s="330">
        <v>1</v>
      </c>
      <c r="C45" s="331">
        <f>0.36+0.078+0.026+0.04</f>
        <v>0.504</v>
      </c>
      <c r="D45" s="315">
        <f>C45*B45</f>
        <v>0.504</v>
      </c>
      <c r="E45" s="315">
        <v>0</v>
      </c>
      <c r="F45" s="315">
        <f>E45+D45</f>
        <v>0.504</v>
      </c>
      <c r="G45" s="460">
        <f t="shared" si="11"/>
        <v>-5.9523809523820415E-4</v>
      </c>
      <c r="H45" s="315">
        <v>0.50369999999999993</v>
      </c>
      <c r="I45" s="438" t="s">
        <v>545</v>
      </c>
      <c r="J45" s="8"/>
    </row>
    <row r="46" spans="1:18" hidden="1" outlineLevel="1">
      <c r="A46" s="313" t="s">
        <v>316</v>
      </c>
      <c r="B46" s="330">
        <v>1</v>
      </c>
      <c r="C46" s="331">
        <f>0.497+0.04</f>
        <v>0.53700000000000003</v>
      </c>
      <c r="D46" s="315">
        <f>C46*B46</f>
        <v>0.53700000000000003</v>
      </c>
      <c r="E46" s="315">
        <v>0</v>
      </c>
      <c r="F46" s="315">
        <f>E46+D46</f>
        <v>0.53700000000000003</v>
      </c>
      <c r="G46" s="460">
        <f t="shared" si="11"/>
        <v>0.23566108007448761</v>
      </c>
      <c r="H46" s="315">
        <v>0.66354999999999986</v>
      </c>
      <c r="I46" s="438" t="s">
        <v>546</v>
      </c>
      <c r="J46" s="8"/>
      <c r="Q46" s="499"/>
      <c r="R46" s="499"/>
    </row>
    <row r="47" spans="1:18" hidden="1" outlineLevel="1">
      <c r="A47" s="313" t="s">
        <v>532</v>
      </c>
      <c r="B47" s="330">
        <v>1</v>
      </c>
      <c r="C47" s="332">
        <f>0.452+0.04+0.08+0.026</f>
        <v>0.59799999999999998</v>
      </c>
      <c r="D47" s="315">
        <f>C47*B47</f>
        <v>0.59799999999999998</v>
      </c>
      <c r="E47" s="315">
        <v>0</v>
      </c>
      <c r="F47" s="315">
        <f>E47+D47</f>
        <v>0.59799999999999998</v>
      </c>
      <c r="G47" s="460">
        <f t="shared" si="11"/>
        <v>0.11615384615384605</v>
      </c>
      <c r="H47" s="315">
        <v>0.66745999999999994</v>
      </c>
      <c r="I47" s="438" t="s">
        <v>546</v>
      </c>
      <c r="J47" s="8"/>
    </row>
    <row r="48" spans="1:18" hidden="1" outlineLevel="1">
      <c r="A48" s="326" t="s">
        <v>279</v>
      </c>
      <c r="B48" s="330">
        <v>1</v>
      </c>
      <c r="C48" s="332">
        <v>0.83</v>
      </c>
      <c r="D48" s="315">
        <f>C48*B48</f>
        <v>0.83</v>
      </c>
      <c r="E48" s="315">
        <v>0</v>
      </c>
      <c r="F48" s="315">
        <f>E48+D48</f>
        <v>0.83</v>
      </c>
      <c r="G48" s="460">
        <f t="shared" si="11"/>
        <v>-2.7710843373493832E-2</v>
      </c>
      <c r="H48" s="315">
        <v>0.80700000000000005</v>
      </c>
      <c r="I48" s="438" t="s">
        <v>544</v>
      </c>
      <c r="J48" s="8"/>
    </row>
    <row r="49" spans="1:27" hidden="1" outlineLevel="1">
      <c r="A49" s="326" t="s">
        <v>280</v>
      </c>
      <c r="B49" s="330">
        <v>1</v>
      </c>
      <c r="C49" s="332">
        <v>9.1999999999999998E-2</v>
      </c>
      <c r="D49" s="315">
        <f>C49*B49</f>
        <v>9.1999999999999998E-2</v>
      </c>
      <c r="E49" s="315">
        <v>0</v>
      </c>
      <c r="F49" s="315">
        <f>E49+D49</f>
        <v>9.1999999999999998E-2</v>
      </c>
      <c r="G49" s="460">
        <f t="shared" si="11"/>
        <v>0.77173913043478271</v>
      </c>
      <c r="H49" s="315">
        <v>0.16300000000000001</v>
      </c>
      <c r="I49" s="438" t="s">
        <v>247</v>
      </c>
      <c r="J49" s="8"/>
    </row>
    <row r="50" spans="1:27" hidden="1" outlineLevel="1">
      <c r="A50" s="333" t="s">
        <v>281</v>
      </c>
      <c r="B50" s="333">
        <v>1</v>
      </c>
      <c r="C50" s="334">
        <f>SUM(C51:C52)</f>
        <v>3.6</v>
      </c>
      <c r="D50" s="334">
        <f>SUM(D51:D52)</f>
        <v>3.6</v>
      </c>
      <c r="E50" s="334">
        <f>SUM(E51:E52)</f>
        <v>2.25</v>
      </c>
      <c r="F50" s="334">
        <f>SUM(F51:F52)</f>
        <v>5.85</v>
      </c>
      <c r="G50" s="460">
        <f t="shared" si="11"/>
        <v>0.18341880341880357</v>
      </c>
      <c r="H50" s="334">
        <f>SUM(H51:H52)</f>
        <v>6.923</v>
      </c>
      <c r="I50" s="439"/>
      <c r="J50" s="8"/>
    </row>
    <row r="51" spans="1:27" hidden="1" outlineLevel="1">
      <c r="A51" s="326" t="s">
        <v>509</v>
      </c>
      <c r="B51" s="326">
        <v>1</v>
      </c>
      <c r="C51" s="332">
        <v>3.6</v>
      </c>
      <c r="D51" s="315">
        <f>B51*C51</f>
        <v>3.6</v>
      </c>
      <c r="E51" s="332">
        <v>0</v>
      </c>
      <c r="F51" s="315">
        <f>E51+D51</f>
        <v>3.6</v>
      </c>
      <c r="G51" s="460">
        <f t="shared" si="11"/>
        <v>0.2138888888888888</v>
      </c>
      <c r="H51" s="332">
        <v>4.37</v>
      </c>
      <c r="I51" s="438" t="s">
        <v>245</v>
      </c>
      <c r="J51" s="8"/>
      <c r="L51" t="s">
        <v>510</v>
      </c>
    </row>
    <row r="52" spans="1:27" hidden="1" outlineLevel="1">
      <c r="A52" s="313" t="s">
        <v>288</v>
      </c>
      <c r="B52" s="326">
        <v>1</v>
      </c>
      <c r="C52" s="331">
        <v>0</v>
      </c>
      <c r="D52" s="315">
        <f>C52*B52</f>
        <v>0</v>
      </c>
      <c r="E52" s="331">
        <v>2.25</v>
      </c>
      <c r="F52" s="315">
        <f>E52+D52</f>
        <v>2.25</v>
      </c>
      <c r="G52" s="460">
        <f>H52/F52-1</f>
        <v>0.13466666666666671</v>
      </c>
      <c r="H52" s="315">
        <v>2.5529999999999999</v>
      </c>
      <c r="I52" s="438" t="s">
        <v>251</v>
      </c>
      <c r="J52" s="8"/>
      <c r="L52" t="s">
        <v>507</v>
      </c>
    </row>
    <row r="53" spans="1:27" collapsed="1">
      <c r="A53" s="309" t="s">
        <v>500</v>
      </c>
      <c r="B53" s="310">
        <v>1</v>
      </c>
      <c r="C53" s="311">
        <f>(1112+833+182.9+238.5+269.6+110+110+192.9+193.8)/1000</f>
        <v>3.2427000000000001</v>
      </c>
      <c r="D53" s="329">
        <f>B53*C53</f>
        <v>3.2427000000000001</v>
      </c>
      <c r="E53" s="311">
        <v>0</v>
      </c>
      <c r="F53" s="329">
        <f>SUM(D53:E53)</f>
        <v>3.2427000000000001</v>
      </c>
      <c r="G53" s="312">
        <f>H53/F53-1</f>
        <v>0.25204305054429943</v>
      </c>
      <c r="H53" s="311">
        <f>2.5+0.44+0.24*2+0.64</f>
        <v>4.0599999999999996</v>
      </c>
      <c r="I53" s="554" t="s">
        <v>548</v>
      </c>
      <c r="J53" s="555"/>
      <c r="K53" s="555"/>
      <c r="L53" s="555"/>
      <c r="M53" s="555"/>
      <c r="N53" s="555"/>
      <c r="O53" s="555"/>
      <c r="P53" s="555"/>
    </row>
    <row r="54" spans="1:27" ht="13.5" thickBot="1">
      <c r="A54" s="335" t="s">
        <v>289</v>
      </c>
      <c r="B54" s="335"/>
      <c r="C54" s="336">
        <f>C53+C44+C43+C42+C17+C16+C15+C14+C4</f>
        <v>25.109700000000007</v>
      </c>
      <c r="D54" s="336">
        <f>D53+D44+D43+D42+D17+D16+D15+D14+D4</f>
        <v>25.109700000000007</v>
      </c>
      <c r="E54" s="336">
        <f>E53+E44+E43+E42+E17+E16+E15+E14+E4</f>
        <v>2.2000000000000002</v>
      </c>
      <c r="F54" s="336">
        <f>F53+F44+F43+F42+F17+F16+F15+F14+F4</f>
        <v>27.309700000000003</v>
      </c>
      <c r="G54" s="337">
        <f>H54/F54-1</f>
        <v>0.15795247960720005</v>
      </c>
      <c r="H54" s="435">
        <f>H53+H44+H43+H42+H17+H16+H15+H14+H4</f>
        <v>31.623334832328755</v>
      </c>
      <c r="I54" s="434"/>
      <c r="J54" s="8"/>
    </row>
    <row r="55" spans="1:27" ht="13.5" thickTop="1">
      <c r="A55" s="495"/>
      <c r="B55" s="495"/>
      <c r="C55" s="496"/>
      <c r="D55" s="496"/>
      <c r="E55" s="496"/>
      <c r="F55" s="496"/>
      <c r="G55" s="497"/>
      <c r="H55" s="496"/>
      <c r="I55" s="434"/>
      <c r="J55" s="8"/>
    </row>
    <row r="56" spans="1:27">
      <c r="A56" t="s">
        <v>498</v>
      </c>
      <c r="C56" s="299"/>
      <c r="E56" s="299"/>
      <c r="F56" s="299"/>
    </row>
    <row r="57" spans="1:27" ht="51">
      <c r="A57" s="510" t="s">
        <v>241</v>
      </c>
      <c r="B57" s="510" t="s">
        <v>242</v>
      </c>
      <c r="C57" s="511" t="s">
        <v>243</v>
      </c>
      <c r="D57" s="511" t="s">
        <v>230</v>
      </c>
      <c r="E57" s="511" t="s">
        <v>359</v>
      </c>
      <c r="F57" s="511" t="s">
        <v>360</v>
      </c>
      <c r="G57" s="511" t="s">
        <v>361</v>
      </c>
      <c r="H57" s="511" t="s">
        <v>231</v>
      </c>
      <c r="I57" s="436" t="s">
        <v>362</v>
      </c>
      <c r="J57" s="8"/>
    </row>
    <row r="58" spans="1:27">
      <c r="A58" s="309" t="s">
        <v>244</v>
      </c>
      <c r="B58" s="310">
        <v>1</v>
      </c>
      <c r="C58" s="311">
        <f>C4</f>
        <v>2.0390000000000001</v>
      </c>
      <c r="D58" s="311">
        <f>D4</f>
        <v>2.0390000000000001</v>
      </c>
      <c r="E58" s="311">
        <v>0</v>
      </c>
      <c r="F58" s="311">
        <f>E58+D58</f>
        <v>2.0390000000000001</v>
      </c>
      <c r="G58" s="312">
        <f>H58/F58-1</f>
        <v>0.19372241294752324</v>
      </c>
      <c r="H58" s="311">
        <f>H4</f>
        <v>2.4340000000000002</v>
      </c>
      <c r="I58" s="554" t="s">
        <v>538</v>
      </c>
      <c r="J58" s="555"/>
      <c r="K58" s="555"/>
      <c r="L58" s="555"/>
      <c r="M58" s="555"/>
      <c r="N58" s="555"/>
      <c r="O58" s="555"/>
      <c r="P58" s="555"/>
      <c r="V58" s="512"/>
      <c r="W58" s="512"/>
      <c r="X58" s="512"/>
      <c r="Y58" s="512"/>
      <c r="Z58" s="512"/>
      <c r="AA58" s="512"/>
    </row>
    <row r="59" spans="1:27">
      <c r="A59" s="309" t="s">
        <v>252</v>
      </c>
      <c r="B59" s="310">
        <v>1</v>
      </c>
      <c r="C59" s="311">
        <f t="shared" ref="C59:H61" si="12">C$4</f>
        <v>2.0390000000000001</v>
      </c>
      <c r="D59" s="311">
        <f t="shared" si="12"/>
        <v>2.0390000000000001</v>
      </c>
      <c r="E59" s="311">
        <f t="shared" si="12"/>
        <v>0</v>
      </c>
      <c r="F59" s="311">
        <f t="shared" si="12"/>
        <v>2.0390000000000001</v>
      </c>
      <c r="G59" s="312">
        <f t="shared" si="12"/>
        <v>0.19372241294752324</v>
      </c>
      <c r="H59" s="311">
        <f t="shared" si="12"/>
        <v>2.4340000000000002</v>
      </c>
      <c r="I59" s="554" t="s">
        <v>538</v>
      </c>
      <c r="J59" s="555"/>
      <c r="K59" s="555"/>
      <c r="L59" s="555"/>
      <c r="M59" s="555"/>
      <c r="N59" s="555"/>
      <c r="O59" s="555"/>
      <c r="P59" s="555"/>
      <c r="V59" s="512"/>
      <c r="W59" s="512"/>
      <c r="X59" s="512"/>
      <c r="Y59" s="512"/>
      <c r="Z59" s="512"/>
      <c r="AA59" s="512"/>
    </row>
    <row r="60" spans="1:27">
      <c r="A60" s="309" t="s">
        <v>253</v>
      </c>
      <c r="B60" s="310">
        <v>1</v>
      </c>
      <c r="C60" s="311">
        <f t="shared" si="12"/>
        <v>2.0390000000000001</v>
      </c>
      <c r="D60" s="311">
        <f t="shared" si="12"/>
        <v>2.0390000000000001</v>
      </c>
      <c r="E60" s="311">
        <f t="shared" si="12"/>
        <v>0</v>
      </c>
      <c r="F60" s="311">
        <f t="shared" si="12"/>
        <v>2.0390000000000001</v>
      </c>
      <c r="G60" s="312">
        <f t="shared" si="12"/>
        <v>0.19372241294752324</v>
      </c>
      <c r="H60" s="311">
        <f t="shared" si="12"/>
        <v>2.4340000000000002</v>
      </c>
      <c r="I60" s="554" t="s">
        <v>538</v>
      </c>
      <c r="J60" s="555"/>
      <c r="K60" s="555"/>
      <c r="L60" s="555"/>
      <c r="M60" s="555"/>
      <c r="N60" s="555"/>
      <c r="O60" s="555"/>
      <c r="P60" s="555"/>
      <c r="V60" s="512"/>
      <c r="W60" s="512"/>
      <c r="X60" s="512"/>
      <c r="Y60" s="512"/>
      <c r="Z60" s="512"/>
      <c r="AA60" s="512"/>
    </row>
    <row r="61" spans="1:27">
      <c r="A61" s="309" t="s">
        <v>254</v>
      </c>
      <c r="B61" s="310">
        <v>1</v>
      </c>
      <c r="C61" s="311">
        <f t="shared" si="12"/>
        <v>2.0390000000000001</v>
      </c>
      <c r="D61" s="311">
        <f t="shared" si="12"/>
        <v>2.0390000000000001</v>
      </c>
      <c r="E61" s="311">
        <f t="shared" si="12"/>
        <v>0</v>
      </c>
      <c r="F61" s="311">
        <f t="shared" si="12"/>
        <v>2.0390000000000001</v>
      </c>
      <c r="G61" s="312">
        <f t="shared" si="12"/>
        <v>0.19372241294752324</v>
      </c>
      <c r="H61" s="311">
        <f t="shared" si="12"/>
        <v>2.4340000000000002</v>
      </c>
      <c r="I61" s="554" t="s">
        <v>538</v>
      </c>
      <c r="J61" s="555"/>
      <c r="K61" s="555"/>
      <c r="L61" s="555"/>
      <c r="M61" s="555"/>
      <c r="N61" s="555"/>
      <c r="O61" s="555"/>
      <c r="P61" s="555"/>
      <c r="V61" s="512"/>
      <c r="W61" s="512"/>
      <c r="X61" s="512"/>
      <c r="Y61" s="512"/>
      <c r="Z61" s="512"/>
      <c r="AA61" s="512"/>
    </row>
    <row r="62" spans="1:27">
      <c r="A62" s="309" t="s">
        <v>255</v>
      </c>
      <c r="B62" s="310">
        <v>1</v>
      </c>
      <c r="C62" s="311">
        <f>3.145-0.011</f>
        <v>3.1339999999999999</v>
      </c>
      <c r="D62" s="311">
        <f>3.145-0.011</f>
        <v>3.1339999999999999</v>
      </c>
      <c r="E62" s="311">
        <f>E17</f>
        <v>0</v>
      </c>
      <c r="F62" s="311">
        <f>C62</f>
        <v>3.1339999999999999</v>
      </c>
      <c r="G62" s="312">
        <f>H62/F62-1</f>
        <v>8.6411109178167633E-2</v>
      </c>
      <c r="H62" s="311">
        <f>H17</f>
        <v>3.4048124161643769</v>
      </c>
      <c r="I62" s="557" t="s">
        <v>542</v>
      </c>
      <c r="J62" s="555"/>
      <c r="K62" s="555"/>
      <c r="L62" s="555"/>
      <c r="M62" s="555"/>
      <c r="N62" s="555"/>
      <c r="O62" s="555"/>
      <c r="P62" s="555"/>
    </row>
    <row r="63" spans="1:27">
      <c r="A63" s="309" t="s">
        <v>276</v>
      </c>
      <c r="B63" s="310">
        <f t="shared" ref="B63:G63" si="13">B62</f>
        <v>1</v>
      </c>
      <c r="C63" s="311">
        <f>3.145-0.011</f>
        <v>3.1339999999999999</v>
      </c>
      <c r="D63" s="311">
        <f>3.145-0.011</f>
        <v>3.1339999999999999</v>
      </c>
      <c r="E63" s="311">
        <f t="shared" si="13"/>
        <v>0</v>
      </c>
      <c r="F63" s="311">
        <f t="shared" si="13"/>
        <v>3.1339999999999999</v>
      </c>
      <c r="G63" s="312">
        <f t="shared" si="13"/>
        <v>8.6411109178167633E-2</v>
      </c>
      <c r="H63" s="311">
        <f>H62</f>
        <v>3.4048124161643769</v>
      </c>
      <c r="I63" s="557" t="s">
        <v>543</v>
      </c>
      <c r="J63" s="555"/>
      <c r="K63" s="555"/>
      <c r="L63" s="555"/>
      <c r="M63" s="555"/>
      <c r="N63" s="555"/>
      <c r="O63" s="555"/>
      <c r="P63" s="555"/>
    </row>
    <row r="64" spans="1:27">
      <c r="A64" s="327" t="s">
        <v>277</v>
      </c>
      <c r="B64" s="328">
        <v>1</v>
      </c>
      <c r="C64" s="329">
        <v>1.03</v>
      </c>
      <c r="D64" s="329">
        <f>B64*C64</f>
        <v>1.03</v>
      </c>
      <c r="E64" s="329">
        <v>0</v>
      </c>
      <c r="F64" s="329">
        <f>SUM(D64:E64)</f>
        <v>1.03</v>
      </c>
      <c r="G64" s="312">
        <f>H64/F64-1</f>
        <v>0.25242718446601953</v>
      </c>
      <c r="H64" s="329">
        <v>1.29</v>
      </c>
      <c r="I64" s="557" t="s">
        <v>537</v>
      </c>
      <c r="J64" s="555"/>
      <c r="K64" s="555"/>
      <c r="L64" s="555"/>
      <c r="M64" s="555"/>
      <c r="N64" s="555"/>
      <c r="O64" s="555"/>
      <c r="P64" s="555"/>
    </row>
    <row r="65" spans="1:22">
      <c r="A65" s="309" t="s">
        <v>232</v>
      </c>
      <c r="B65" s="310">
        <v>1</v>
      </c>
      <c r="C65" s="311">
        <f>C44</f>
        <v>6.4</v>
      </c>
      <c r="D65" s="311">
        <f>D44</f>
        <v>6.4</v>
      </c>
      <c r="E65" s="311">
        <f>E44</f>
        <v>2.2000000000000002</v>
      </c>
      <c r="F65" s="311">
        <f>F44</f>
        <v>8.6000000000000014</v>
      </c>
      <c r="G65" s="312">
        <f>H65/F65-1</f>
        <v>0.13112906976744165</v>
      </c>
      <c r="H65" s="311">
        <f>H44</f>
        <v>9.7277100000000001</v>
      </c>
      <c r="I65" s="554" t="s">
        <v>547</v>
      </c>
      <c r="J65" s="555"/>
      <c r="K65" s="555"/>
      <c r="L65" s="555"/>
      <c r="M65" s="555"/>
      <c r="N65" s="555"/>
      <c r="O65" s="555"/>
      <c r="P65" s="555"/>
    </row>
    <row r="66" spans="1:22">
      <c r="A66" s="309" t="s">
        <v>499</v>
      </c>
      <c r="B66" s="310">
        <v>1</v>
      </c>
      <c r="C66" s="311">
        <f>1.091+0.868+0.15+0.303+0.355+0.105+0.106+0.19+0.19</f>
        <v>3.3579999999999997</v>
      </c>
      <c r="D66" s="329">
        <f>B66*C66</f>
        <v>3.3579999999999997</v>
      </c>
      <c r="E66" s="311">
        <v>0</v>
      </c>
      <c r="F66" s="329">
        <f>SUM(D66:E66)</f>
        <v>3.3579999999999997</v>
      </c>
      <c r="G66" s="312">
        <f>H66/F66-1</f>
        <v>0.20905300774270397</v>
      </c>
      <c r="H66" s="311">
        <f>2.5+0.44+0.24*2+0.64</f>
        <v>4.0599999999999996</v>
      </c>
      <c r="I66" s="554" t="s">
        <v>539</v>
      </c>
      <c r="J66" s="555"/>
      <c r="K66" s="555"/>
      <c r="L66" s="555"/>
      <c r="M66" s="555"/>
      <c r="N66" s="555"/>
      <c r="O66" s="555"/>
      <c r="P66" s="555"/>
    </row>
    <row r="67" spans="1:22" ht="13.5" thickBot="1">
      <c r="A67" s="335" t="s">
        <v>289</v>
      </c>
      <c r="B67" s="335"/>
      <c r="C67" s="336">
        <f>C66+C65+C64+C63+C62+C61+C60+C59+C58</f>
        <v>25.212000000000003</v>
      </c>
      <c r="D67" s="336">
        <f>D66+D65+D64+D63+D62+D61+D60+D59+D58</f>
        <v>25.212000000000003</v>
      </c>
      <c r="E67" s="336">
        <f>E66+E65+E64+E63+E62+E61+E60+E59+E58</f>
        <v>2.2000000000000002</v>
      </c>
      <c r="F67" s="336">
        <f>F66+F65+F64+F63+F62+F61+F60+F59+F58</f>
        <v>27.412000000000006</v>
      </c>
      <c r="G67" s="337">
        <f>H67/F67-1</f>
        <v>0.15363106786548775</v>
      </c>
      <c r="H67" s="435">
        <f>H66+H65+H64+H63+H62+H61+H60+H59+H58</f>
        <v>31.623334832328755</v>
      </c>
      <c r="I67" s="434"/>
      <c r="J67" s="8"/>
    </row>
    <row r="68" spans="1:22" ht="13.5" thickTop="1">
      <c r="A68" s="495"/>
      <c r="B68" s="495"/>
      <c r="C68" s="496"/>
      <c r="D68" s="496"/>
      <c r="E68" s="496"/>
      <c r="F68" s="496"/>
      <c r="G68" s="497"/>
      <c r="H68" s="496"/>
      <c r="I68" s="434"/>
      <c r="J68" s="8"/>
    </row>
    <row r="69" spans="1:22">
      <c r="A69" s="495"/>
      <c r="B69" s="495"/>
      <c r="C69" s="496"/>
      <c r="D69" s="496"/>
      <c r="E69" s="496"/>
      <c r="F69" s="496"/>
      <c r="G69" s="497"/>
      <c r="H69" s="496"/>
      <c r="I69" s="434"/>
      <c r="J69" s="8"/>
    </row>
    <row r="70" spans="1:22">
      <c r="A70" s="495"/>
      <c r="B70" s="495"/>
      <c r="C70" s="496"/>
      <c r="D70" s="496"/>
      <c r="E70" s="496"/>
      <c r="F70" s="496"/>
      <c r="G70" s="497"/>
      <c r="H70" s="496"/>
      <c r="I70" s="434"/>
      <c r="J70" s="8"/>
      <c r="V70" s="513"/>
    </row>
    <row r="71" spans="1:22">
      <c r="J71" s="304"/>
    </row>
    <row r="72" spans="1:22" ht="51">
      <c r="A72" s="338" t="s">
        <v>290</v>
      </c>
      <c r="B72" s="307" t="s">
        <v>242</v>
      </c>
      <c r="C72" s="308" t="s">
        <v>243</v>
      </c>
      <c r="D72" s="308" t="s">
        <v>230</v>
      </c>
      <c r="E72" s="308" t="s">
        <v>359</v>
      </c>
      <c r="F72" s="308" t="s">
        <v>360</v>
      </c>
      <c r="G72" s="308" t="s">
        <v>361</v>
      </c>
      <c r="H72" s="308" t="s">
        <v>231</v>
      </c>
      <c r="I72" s="436" t="s">
        <v>362</v>
      </c>
    </row>
    <row r="73" spans="1:22">
      <c r="A73" s="309" t="s">
        <v>291</v>
      </c>
      <c r="B73" s="310">
        <v>1</v>
      </c>
      <c r="C73" s="311">
        <f>SUM(C74:C75)</f>
        <v>2.0390000000000001</v>
      </c>
      <c r="D73" s="311">
        <f>SUM(D74:D75)</f>
        <v>2.0390000000000001</v>
      </c>
      <c r="E73" s="310">
        <v>0</v>
      </c>
      <c r="F73" s="311">
        <f>E73+D73</f>
        <v>2.0390000000000001</v>
      </c>
      <c r="G73" s="312">
        <f t="shared" ref="G73:G78" si="14">H73/F73-1</f>
        <v>0.19372241294752324</v>
      </c>
      <c r="H73" s="311">
        <f>H74+H75</f>
        <v>2.4340000000000002</v>
      </c>
      <c r="I73" s="437"/>
    </row>
    <row r="74" spans="1:22">
      <c r="A74" s="339" t="s">
        <v>292</v>
      </c>
      <c r="B74" s="313">
        <v>1</v>
      </c>
      <c r="C74" s="315">
        <f>SUM(C5:C9)+C13</f>
        <v>1.7351465811531626</v>
      </c>
      <c r="D74" s="315">
        <f>SUM(D5:D9)+D13</f>
        <v>1.7351465811531626</v>
      </c>
      <c r="E74" s="315">
        <f>SUM(E5:E9)</f>
        <v>0</v>
      </c>
      <c r="F74" s="315">
        <f>SUM(F5:F9)+F13</f>
        <v>1.7351465811531626</v>
      </c>
      <c r="G74" s="340">
        <f t="shared" si="14"/>
        <v>0.17511685879869554</v>
      </c>
      <c r="H74" s="315">
        <f>SUM(H5:H9)+H13</f>
        <v>2.0390000000000001</v>
      </c>
      <c r="I74" s="433"/>
    </row>
    <row r="75" spans="1:22">
      <c r="A75" s="339" t="s">
        <v>293</v>
      </c>
      <c r="B75" s="313">
        <v>1</v>
      </c>
      <c r="C75" s="315">
        <f>SUM(C10:C12)</f>
        <v>0.3038534188468377</v>
      </c>
      <c r="D75" s="315">
        <f>SUM(D10:D12)</f>
        <v>0.3038534188468377</v>
      </c>
      <c r="E75" s="315">
        <f>SUM(E10:E12)</f>
        <v>0</v>
      </c>
      <c r="F75" s="315">
        <f>SUM(F10:F12)</f>
        <v>0.3038534188468377</v>
      </c>
      <c r="G75" s="340">
        <f t="shared" si="14"/>
        <v>0.2999689175757021</v>
      </c>
      <c r="H75" s="315">
        <f>SUM(H10:H12)</f>
        <v>0.39500000000000002</v>
      </c>
      <c r="I75" s="433"/>
    </row>
    <row r="76" spans="1:22">
      <c r="A76" s="309" t="s">
        <v>294</v>
      </c>
      <c r="B76" s="310">
        <v>1</v>
      </c>
      <c r="C76" s="311">
        <f>SUM(C77:C78)</f>
        <v>3.1469999999999998</v>
      </c>
      <c r="D76" s="311">
        <f>SUM(D77:D78)</f>
        <v>3.1469999999999998</v>
      </c>
      <c r="E76" s="310">
        <v>0</v>
      </c>
      <c r="F76" s="311">
        <f>E76+D76</f>
        <v>3.1469999999999998</v>
      </c>
      <c r="G76" s="312">
        <f t="shared" si="14"/>
        <v>8.1923233608000467E-2</v>
      </c>
      <c r="H76" s="311">
        <f>H77+H78</f>
        <v>3.4048124161643769</v>
      </c>
      <c r="I76" s="437"/>
    </row>
    <row r="77" spans="1:22">
      <c r="A77" s="339" t="s">
        <v>295</v>
      </c>
      <c r="B77" s="313">
        <v>1</v>
      </c>
      <c r="C77" s="315">
        <f>C17-C78</f>
        <v>1.9359999999999999</v>
      </c>
      <c r="D77" s="315">
        <f>D17-D78</f>
        <v>1.9359999999999999</v>
      </c>
      <c r="E77" s="315">
        <f>SUM(E8:E12)</f>
        <v>0</v>
      </c>
      <c r="F77" s="315">
        <f>F17-F78</f>
        <v>1.9359999999999999</v>
      </c>
      <c r="G77" s="340">
        <f t="shared" si="14"/>
        <v>9.1371384297520786E-2</v>
      </c>
      <c r="H77" s="315">
        <f>H17-H78</f>
        <v>2.112895</v>
      </c>
      <c r="I77" s="433"/>
    </row>
    <row r="78" spans="1:22">
      <c r="A78" s="339" t="s">
        <v>296</v>
      </c>
      <c r="B78" s="313">
        <v>1</v>
      </c>
      <c r="C78" s="315">
        <f>C20+C21+C23+C29+C30+C31</f>
        <v>1.2109999999999999</v>
      </c>
      <c r="D78" s="315">
        <f>D20+D21+D23+D29+D30+D31</f>
        <v>1.2109999999999999</v>
      </c>
      <c r="E78" s="315">
        <f>E20+E21+E23+E29+E30+E31</f>
        <v>0</v>
      </c>
      <c r="F78" s="315">
        <f>F20+F21+F23+F29+F30+F31</f>
        <v>1.2109999999999999</v>
      </c>
      <c r="G78" s="340">
        <f t="shared" si="14"/>
        <v>6.6818675610550882E-2</v>
      </c>
      <c r="H78" s="315">
        <f>H20+H21+H23+H29+H30+H31</f>
        <v>1.2919174161643769</v>
      </c>
      <c r="I78" s="433"/>
    </row>
    <row r="81" spans="1:24" ht="15.75">
      <c r="B81" s="383" t="s">
        <v>192</v>
      </c>
      <c r="C81" s="158"/>
      <c r="H81" s="400" t="s">
        <v>355</v>
      </c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1:24" ht="15.75">
      <c r="B82" s="392" t="s">
        <v>193</v>
      </c>
      <c r="C82" s="158"/>
      <c r="D82" s="393"/>
      <c r="E82" s="393"/>
      <c r="F82" s="157"/>
      <c r="G82" s="157"/>
      <c r="H82" s="27"/>
      <c r="I82" s="27"/>
      <c r="J82" s="28"/>
      <c r="K82" s="28"/>
      <c r="L82" s="28"/>
      <c r="M82" s="399" t="s">
        <v>354</v>
      </c>
      <c r="N82" s="28"/>
      <c r="O82" s="28"/>
      <c r="P82" s="28"/>
      <c r="Q82" s="28"/>
      <c r="R82" s="28"/>
      <c r="S82" s="28"/>
      <c r="T82" s="28"/>
      <c r="U82" s="364"/>
      <c r="V82" s="28"/>
      <c r="W82" s="28"/>
      <c r="X82" s="25"/>
    </row>
    <row r="83" spans="1:24" ht="13.5" thickBot="1">
      <c r="B83" s="394" t="s">
        <v>194</v>
      </c>
      <c r="C83" s="158"/>
      <c r="D83" s="393"/>
      <c r="E83" s="393"/>
      <c r="F83" s="157"/>
      <c r="G83" s="157"/>
      <c r="H83" s="26" t="s">
        <v>358</v>
      </c>
      <c r="I83" s="27"/>
      <c r="J83" s="27"/>
      <c r="K83" s="27"/>
      <c r="L83" s="30"/>
      <c r="M83" s="30"/>
      <c r="N83" s="30"/>
      <c r="O83" s="26" t="s">
        <v>187</v>
      </c>
      <c r="P83" s="25"/>
      <c r="Q83" s="25"/>
      <c r="R83" s="443" t="s">
        <v>350</v>
      </c>
      <c r="S83" s="187"/>
      <c r="T83" s="187"/>
      <c r="U83" s="444" t="s">
        <v>351</v>
      </c>
      <c r="V83" s="187"/>
      <c r="W83" s="187"/>
      <c r="X83" s="25"/>
    </row>
    <row r="84" spans="1:24">
      <c r="A84" s="158"/>
      <c r="B84" s="158"/>
      <c r="C84" s="158"/>
      <c r="D84" s="158"/>
      <c r="E84" s="158"/>
      <c r="F84" s="158"/>
      <c r="G84" s="158"/>
      <c r="H84" s="27"/>
      <c r="I84" s="27"/>
      <c r="J84" s="28"/>
      <c r="K84" s="441" t="s">
        <v>234</v>
      </c>
      <c r="L84" s="446" t="s">
        <v>349</v>
      </c>
      <c r="M84" s="442" t="s">
        <v>235</v>
      </c>
      <c r="N84" s="389"/>
      <c r="O84" s="28"/>
      <c r="P84" s="28"/>
      <c r="Q84" s="28"/>
      <c r="R84" s="441" t="s">
        <v>234</v>
      </c>
      <c r="S84" s="445" t="s">
        <v>349</v>
      </c>
      <c r="T84" s="442" t="s">
        <v>235</v>
      </c>
      <c r="U84" s="441" t="s">
        <v>234</v>
      </c>
      <c r="V84" s="446" t="s">
        <v>349</v>
      </c>
      <c r="W84" s="442" t="s">
        <v>235</v>
      </c>
      <c r="X84" s="25"/>
    </row>
    <row r="85" spans="1:24">
      <c r="H85" s="29" t="s">
        <v>2</v>
      </c>
      <c r="I85" s="27"/>
      <c r="J85" s="25"/>
      <c r="K85" s="419">
        <f>SPB!K4</f>
        <v>3.3999999999999998E-3</v>
      </c>
      <c r="L85" s="397">
        <f>M85/K85-1</f>
        <v>0.32352941176470584</v>
      </c>
      <c r="M85" s="420">
        <v>4.4999999999999997E-3</v>
      </c>
      <c r="N85" s="29" t="s">
        <v>3</v>
      </c>
      <c r="O85" s="31" t="s">
        <v>140</v>
      </c>
      <c r="P85" s="31"/>
      <c r="Q85" s="25"/>
      <c r="R85" s="402">
        <f>AXB!P4</f>
        <v>14</v>
      </c>
      <c r="S85" s="263" t="s">
        <v>188</v>
      </c>
      <c r="T85" s="403">
        <v>14</v>
      </c>
      <c r="U85" s="412">
        <f>AXB!E37/AXB!I37</f>
        <v>0.16764350873883552</v>
      </c>
      <c r="V85" s="397">
        <f t="shared" ref="V85:V90" si="15">W85/U85-1</f>
        <v>1.4056561324038874E-2</v>
      </c>
      <c r="W85" s="413">
        <v>0.17</v>
      </c>
      <c r="X85" s="29" t="s">
        <v>365</v>
      </c>
    </row>
    <row r="86" spans="1:24">
      <c r="H86" s="29" t="s">
        <v>6</v>
      </c>
      <c r="I86" s="27"/>
      <c r="J86" s="25"/>
      <c r="K86" s="421">
        <f>SPB!K5</f>
        <v>2.1000000000000001E-4</v>
      </c>
      <c r="L86" s="397">
        <f>M86/K86-1</f>
        <v>0.42857142857142838</v>
      </c>
      <c r="M86" s="422">
        <v>2.9999999999999997E-4</v>
      </c>
      <c r="N86" s="29" t="s">
        <v>3</v>
      </c>
      <c r="O86" s="32" t="s">
        <v>68</v>
      </c>
      <c r="P86" s="33"/>
      <c r="Q86" s="25"/>
      <c r="R86" s="402">
        <f>AXB!P5</f>
        <v>0.246</v>
      </c>
      <c r="S86" s="396" t="s">
        <v>353</v>
      </c>
      <c r="T86" s="404"/>
      <c r="U86" s="414"/>
      <c r="V86" s="398"/>
      <c r="W86" s="404"/>
      <c r="X86" s="25"/>
    </row>
    <row r="87" spans="1:24">
      <c r="H87" s="29" t="s">
        <v>8</v>
      </c>
      <c r="I87" s="27"/>
      <c r="J87" s="25"/>
      <c r="K87" s="423">
        <f>SPB!K6</f>
        <v>8.6499999999999994E-2</v>
      </c>
      <c r="L87" s="397">
        <f>M87/K87-1</f>
        <v>0.1560693641618498</v>
      </c>
      <c r="M87" s="424">
        <v>0.1</v>
      </c>
      <c r="N87" s="29" t="s">
        <v>4</v>
      </c>
      <c r="O87" s="32" t="s">
        <v>195</v>
      </c>
      <c r="P87" s="25"/>
      <c r="Q87" s="25"/>
      <c r="R87" s="405">
        <f>AXB!P6</f>
        <v>0.38100000000000001</v>
      </c>
      <c r="S87" s="396" t="s">
        <v>353</v>
      </c>
      <c r="T87" s="406"/>
      <c r="U87" s="405">
        <f>AXB!Q6</f>
        <v>7.5999999999999998E-2</v>
      </c>
      <c r="V87" s="397">
        <f t="shared" si="15"/>
        <v>0.18421052631578938</v>
      </c>
      <c r="W87" s="415">
        <v>0.09</v>
      </c>
      <c r="X87" s="25"/>
    </row>
    <row r="88" spans="1:24">
      <c r="H88" s="29" t="s">
        <v>145</v>
      </c>
      <c r="I88" s="27"/>
      <c r="J88" s="25"/>
      <c r="K88" s="423">
        <f>SPB!K7</f>
        <v>4.2999999999999997E-2</v>
      </c>
      <c r="L88" s="397">
        <f>M88/K88-1</f>
        <v>0.51162790697674443</v>
      </c>
      <c r="M88" s="424">
        <v>6.5000000000000002E-2</v>
      </c>
      <c r="N88" s="29" t="s">
        <v>4</v>
      </c>
      <c r="O88" s="35" t="s">
        <v>370</v>
      </c>
      <c r="P88" s="31"/>
      <c r="Q88" s="25"/>
      <c r="R88" s="407" t="s">
        <v>188</v>
      </c>
      <c r="S88" s="263"/>
      <c r="T88" s="408"/>
      <c r="U88" s="405">
        <f>AXB!Q7</f>
        <v>2.8000000000000001E-2</v>
      </c>
      <c r="V88" s="397">
        <f t="shared" si="15"/>
        <v>0.25</v>
      </c>
      <c r="W88" s="416">
        <v>3.5000000000000003E-2</v>
      </c>
      <c r="X88" s="25"/>
    </row>
    <row r="89" spans="1:24">
      <c r="H89" s="29" t="s">
        <v>52</v>
      </c>
      <c r="I89" s="27"/>
      <c r="J89" s="25"/>
      <c r="K89" s="425">
        <f>SPB!K10</f>
        <v>3</v>
      </c>
      <c r="L89" s="263" t="s">
        <v>188</v>
      </c>
      <c r="M89" s="408" t="s">
        <v>188</v>
      </c>
      <c r="N89" s="29" t="s">
        <v>7</v>
      </c>
      <c r="O89" s="31" t="s">
        <v>189</v>
      </c>
      <c r="P89" s="31"/>
      <c r="Q89" s="25"/>
      <c r="R89" s="405">
        <f>AXB!P8</f>
        <v>0.33441706883413769</v>
      </c>
      <c r="S89" s="396" t="s">
        <v>353</v>
      </c>
      <c r="T89" s="406"/>
      <c r="U89" s="405">
        <f>AXB!Q8</f>
        <v>7.0000000000000001E-3</v>
      </c>
      <c r="V89" s="397">
        <f t="shared" si="15"/>
        <v>0.28571428571428559</v>
      </c>
      <c r="W89" s="415">
        <v>8.9999999999999993E-3</v>
      </c>
      <c r="X89" s="25"/>
    </row>
    <row r="90" spans="1:24" ht="13.5" thickBot="1">
      <c r="H90" s="32" t="s">
        <v>66</v>
      </c>
      <c r="I90" s="36"/>
      <c r="J90" s="25"/>
      <c r="K90" s="426">
        <f>SPB!K11</f>
        <v>100</v>
      </c>
      <c r="L90" s="397">
        <f>M90/K90-1</f>
        <v>0.10000000000000009</v>
      </c>
      <c r="M90" s="427">
        <v>110</v>
      </c>
      <c r="N90" s="29" t="s">
        <v>7</v>
      </c>
      <c r="O90" s="41" t="s">
        <v>369</v>
      </c>
      <c r="P90" s="25"/>
      <c r="Q90" s="25"/>
      <c r="R90" s="409" t="s">
        <v>188</v>
      </c>
      <c r="S90" s="410"/>
      <c r="T90" s="411"/>
      <c r="U90" s="417">
        <f>AXB!Q9</f>
        <v>0.04</v>
      </c>
      <c r="V90" s="418">
        <f t="shared" si="15"/>
        <v>0.5</v>
      </c>
      <c r="W90" s="459">
        <v>0.06</v>
      </c>
      <c r="X90" s="25"/>
    </row>
    <row r="91" spans="1:24" ht="13.5" thickBot="1">
      <c r="H91" s="32" t="s">
        <v>67</v>
      </c>
      <c r="I91" s="36"/>
      <c r="J91" s="25"/>
      <c r="K91" s="428">
        <f>SPB!K12</f>
        <v>100</v>
      </c>
      <c r="L91" s="418">
        <f>M91/K91-1</f>
        <v>0.10000000000000009</v>
      </c>
      <c r="M91" s="429">
        <v>110</v>
      </c>
      <c r="N91" s="29" t="s">
        <v>7</v>
      </c>
      <c r="O91" s="25" t="s">
        <v>352</v>
      </c>
      <c r="P91" s="25"/>
      <c r="Q91" s="25"/>
      <c r="R91" s="430">
        <f>AXB!X25/60</f>
        <v>0.33975499086705957</v>
      </c>
      <c r="S91" s="401">
        <f>1-T91/R91</f>
        <v>0.26417563620773765</v>
      </c>
      <c r="T91" s="431">
        <f>15/60</f>
        <v>0.25</v>
      </c>
      <c r="U91" s="395" t="s">
        <v>236</v>
      </c>
      <c r="V91" s="25"/>
      <c r="W91" s="25"/>
      <c r="X91" s="25"/>
    </row>
    <row r="93" spans="1:24" ht="16.5" thickBot="1">
      <c r="B93" s="432" t="s">
        <v>356</v>
      </c>
      <c r="C93" s="365"/>
      <c r="D93" s="365"/>
      <c r="E93" s="365"/>
      <c r="F93" s="365"/>
      <c r="G93" s="365"/>
      <c r="H93" s="365"/>
      <c r="I93" s="365"/>
      <c r="J93" s="365"/>
      <c r="K93" s="365"/>
      <c r="L93" s="365"/>
      <c r="M93" s="365"/>
      <c r="N93" s="365"/>
      <c r="O93" s="365"/>
      <c r="P93" s="365"/>
      <c r="Q93" s="365"/>
      <c r="R93" s="365"/>
      <c r="S93" s="365"/>
    </row>
    <row r="94" spans="1:24" ht="13.5" thickBot="1">
      <c r="B94" s="368">
        <v>5.5</v>
      </c>
      <c r="C94" s="365" t="s">
        <v>146</v>
      </c>
      <c r="D94" s="365"/>
      <c r="E94" s="365"/>
      <c r="F94" s="365"/>
      <c r="G94" s="365"/>
      <c r="H94" s="371" t="s">
        <v>9</v>
      </c>
      <c r="I94" s="366"/>
      <c r="J94" s="365"/>
      <c r="K94" s="390">
        <f>SPB!K8</f>
        <v>0.90487680975361962</v>
      </c>
      <c r="L94" s="371" t="s">
        <v>7</v>
      </c>
      <c r="M94" s="382"/>
      <c r="N94" s="382"/>
      <c r="O94" s="384" t="s">
        <v>214</v>
      </c>
      <c r="P94" s="385"/>
      <c r="Q94" s="365"/>
      <c r="R94" s="386">
        <f>AXB!P10</f>
        <v>42.674996185653768</v>
      </c>
      <c r="S94" s="371" t="s">
        <v>5</v>
      </c>
    </row>
    <row r="95" spans="1:24">
      <c r="B95" s="369" t="s">
        <v>155</v>
      </c>
      <c r="C95" s="366"/>
      <c r="D95" s="366"/>
      <c r="E95" s="365"/>
      <c r="F95" s="365"/>
      <c r="G95" s="365"/>
      <c r="H95" s="371" t="s">
        <v>10</v>
      </c>
      <c r="I95" s="366"/>
      <c r="J95" s="365"/>
      <c r="K95" s="390">
        <f>SPB!K9</f>
        <v>0.77900000000000003</v>
      </c>
      <c r="L95" s="371" t="s">
        <v>7</v>
      </c>
      <c r="M95" s="382"/>
      <c r="N95" s="382"/>
      <c r="O95" s="384" t="s">
        <v>172</v>
      </c>
      <c r="P95" s="365"/>
      <c r="Q95" s="365"/>
      <c r="R95" s="386">
        <f>AXB!P11</f>
        <v>49.827299230942991</v>
      </c>
      <c r="S95" s="371" t="s">
        <v>5</v>
      </c>
    </row>
    <row r="96" spans="1:24">
      <c r="B96" s="370">
        <v>83.1</v>
      </c>
      <c r="C96" s="371" t="s">
        <v>0</v>
      </c>
      <c r="D96" s="370">
        <f>1.07*39.37</f>
        <v>42.125900000000001</v>
      </c>
      <c r="E96" s="371" t="s">
        <v>1</v>
      </c>
      <c r="F96" s="370">
        <v>647</v>
      </c>
      <c r="G96" s="371" t="s">
        <v>357</v>
      </c>
      <c r="H96" s="365"/>
      <c r="I96" s="365"/>
      <c r="J96" s="365"/>
      <c r="K96" s="365"/>
      <c r="L96" s="365"/>
      <c r="M96" s="365"/>
      <c r="N96" s="365"/>
      <c r="O96" s="365" t="s">
        <v>174</v>
      </c>
      <c r="P96" s="365"/>
      <c r="Q96" s="365"/>
      <c r="R96" s="386">
        <f>SPB!P12</f>
        <v>16.050010798583813</v>
      </c>
      <c r="S96" s="371" t="s">
        <v>5</v>
      </c>
    </row>
    <row r="97" spans="1:21">
      <c r="B97" s="372" t="s">
        <v>69</v>
      </c>
      <c r="C97" s="365"/>
      <c r="D97" s="366"/>
      <c r="E97" s="365"/>
      <c r="F97" s="365"/>
      <c r="G97" s="365"/>
      <c r="H97" s="365"/>
      <c r="I97" s="365"/>
      <c r="J97" s="365"/>
      <c r="K97" s="365"/>
      <c r="L97" s="365"/>
      <c r="M97" s="365"/>
      <c r="N97" s="365"/>
      <c r="O97" s="365" t="s">
        <v>156</v>
      </c>
      <c r="P97" s="365"/>
      <c r="Q97" s="365"/>
      <c r="R97" s="380">
        <f>SPB!P13</f>
        <v>1721.1143283949473</v>
      </c>
      <c r="S97" s="371" t="s">
        <v>5</v>
      </c>
    </row>
    <row r="98" spans="1:21">
      <c r="B98" s="373">
        <f>0.25*F96*((0.5*B96/39.4)^2+0.33*(D96/39.4)^2)</f>
        <v>240.90343705107756</v>
      </c>
      <c r="C98" s="367" t="s">
        <v>147</v>
      </c>
      <c r="D98" s="365"/>
      <c r="E98" s="373">
        <f>0.5*F96*(0.5*B96/39.4)^2</f>
        <v>359.7691313548404</v>
      </c>
      <c r="F98" s="374" t="s">
        <v>148</v>
      </c>
      <c r="G98" s="365"/>
      <c r="H98" s="365"/>
      <c r="I98" s="365"/>
      <c r="J98" s="365"/>
      <c r="K98" s="365"/>
      <c r="L98" s="365"/>
      <c r="M98" s="365"/>
      <c r="N98" s="365"/>
      <c r="O98" s="365"/>
      <c r="P98" s="365"/>
      <c r="Q98" s="387" t="s">
        <v>175</v>
      </c>
      <c r="R98" s="388">
        <f>R95-R96</f>
        <v>33.777288432359178</v>
      </c>
      <c r="S98" s="371" t="s">
        <v>176</v>
      </c>
    </row>
    <row r="99" spans="1:21">
      <c r="B99" s="372" t="s">
        <v>171</v>
      </c>
      <c r="C99" s="375"/>
      <c r="D99" s="375"/>
      <c r="E99" s="375"/>
      <c r="F99" s="376"/>
      <c r="G99" s="365"/>
      <c r="H99" s="365"/>
      <c r="O99" s="158"/>
      <c r="P99" s="158"/>
      <c r="Q99" s="245"/>
      <c r="R99" s="391"/>
      <c r="S99" s="391"/>
      <c r="T99" s="391"/>
      <c r="U99" s="246"/>
    </row>
    <row r="100" spans="1:21">
      <c r="B100" s="377">
        <v>35</v>
      </c>
      <c r="C100" s="375" t="s">
        <v>149</v>
      </c>
      <c r="D100" s="377">
        <v>35</v>
      </c>
      <c r="E100" s="375" t="s">
        <v>150</v>
      </c>
      <c r="F100" s="375"/>
      <c r="G100" s="378"/>
      <c r="H100" s="365"/>
      <c r="O100" s="158"/>
      <c r="P100" s="158"/>
      <c r="Q100" s="245"/>
      <c r="R100" s="391"/>
      <c r="S100" s="391"/>
      <c r="T100" s="391"/>
      <c r="U100" s="246"/>
    </row>
    <row r="101" spans="1:21">
      <c r="B101" s="372" t="s">
        <v>549</v>
      </c>
      <c r="C101" s="375"/>
      <c r="D101" s="375"/>
      <c r="E101" s="378"/>
      <c r="F101" s="378"/>
      <c r="G101" s="379" t="s">
        <v>152</v>
      </c>
      <c r="H101" s="365"/>
      <c r="O101" s="158"/>
      <c r="P101" s="158"/>
      <c r="Q101" s="245"/>
      <c r="R101" s="391"/>
      <c r="S101" s="391"/>
      <c r="T101" s="391"/>
      <c r="U101" s="246"/>
    </row>
    <row r="102" spans="1:21">
      <c r="A102" s="517" t="s">
        <v>552</v>
      </c>
      <c r="B102" s="529">
        <v>460.04</v>
      </c>
      <c r="C102" s="375" t="s">
        <v>149</v>
      </c>
      <c r="D102" s="528">
        <v>577.41999999999996</v>
      </c>
      <c r="E102" s="375" t="s">
        <v>150</v>
      </c>
      <c r="F102" s="376"/>
      <c r="G102" s="381">
        <f>(D102+R96)/(B102+R95)-1</f>
        <v>0.16396954990787349</v>
      </c>
      <c r="H102" s="365"/>
      <c r="O102" s="158"/>
      <c r="P102" s="158"/>
      <c r="Q102" s="245"/>
      <c r="R102" s="391"/>
      <c r="S102" s="391"/>
      <c r="T102" s="391"/>
      <c r="U102" s="246"/>
    </row>
    <row r="103" spans="1:21">
      <c r="B103" s="524"/>
      <c r="C103" s="375"/>
      <c r="D103" s="525"/>
      <c r="E103" s="375"/>
      <c r="F103" s="376"/>
      <c r="G103" s="526"/>
      <c r="H103" s="365"/>
      <c r="O103" s="158"/>
      <c r="P103" s="158"/>
      <c r="Q103" s="245"/>
      <c r="R103" s="391"/>
      <c r="S103" s="391"/>
      <c r="T103" s="391"/>
      <c r="U103" s="246"/>
    </row>
    <row r="104" spans="1:21">
      <c r="A104" s="64" t="s">
        <v>553</v>
      </c>
      <c r="O104" s="158"/>
      <c r="P104" s="158"/>
      <c r="Q104" s="245"/>
      <c r="R104" s="391"/>
      <c r="S104" s="391"/>
      <c r="T104" s="391"/>
      <c r="U104" s="246"/>
    </row>
    <row r="105" spans="1:21">
      <c r="A105" s="517" t="s">
        <v>550</v>
      </c>
      <c r="B105" s="518">
        <v>463.27</v>
      </c>
      <c r="C105" s="519" t="s">
        <v>149</v>
      </c>
      <c r="D105" s="518">
        <v>570.28</v>
      </c>
      <c r="E105" s="519" t="s">
        <v>150</v>
      </c>
      <c r="O105" s="158"/>
      <c r="P105" s="158"/>
      <c r="Q105" s="245"/>
      <c r="R105" s="391"/>
      <c r="S105" s="391"/>
      <c r="T105" s="391"/>
      <c r="U105" s="246"/>
    </row>
    <row r="106" spans="1:21">
      <c r="A106" s="517" t="s">
        <v>551</v>
      </c>
      <c r="B106" s="518">
        <v>457.2</v>
      </c>
      <c r="C106" s="519" t="s">
        <v>149</v>
      </c>
      <c r="D106" s="518">
        <v>576.69000000000005</v>
      </c>
      <c r="E106" s="519" t="s">
        <v>150</v>
      </c>
      <c r="O106" s="158"/>
      <c r="P106" s="158"/>
      <c r="Q106" s="245"/>
      <c r="R106" s="391"/>
      <c r="S106" s="391"/>
      <c r="T106" s="391"/>
      <c r="U106" s="246"/>
    </row>
    <row r="107" spans="1:21">
      <c r="A107" s="64" t="s">
        <v>554</v>
      </c>
      <c r="O107" s="158"/>
      <c r="P107" s="158"/>
      <c r="Q107" s="245"/>
      <c r="R107" s="391"/>
      <c r="S107" s="391"/>
      <c r="T107" s="391"/>
      <c r="U107" s="246"/>
    </row>
    <row r="108" spans="1:21">
      <c r="A108" s="517" t="s">
        <v>550</v>
      </c>
      <c r="B108" s="527">
        <v>460.04</v>
      </c>
      <c r="C108" s="519" t="s">
        <v>149</v>
      </c>
      <c r="D108" s="518">
        <v>577.41999999999996</v>
      </c>
      <c r="E108" s="519" t="s">
        <v>150</v>
      </c>
      <c r="O108" s="158"/>
      <c r="P108" s="158"/>
      <c r="Q108" s="245"/>
      <c r="R108" s="391"/>
      <c r="S108" s="391"/>
      <c r="T108" s="391"/>
      <c r="U108" s="246"/>
    </row>
    <row r="109" spans="1:21">
      <c r="A109" s="517" t="s">
        <v>551</v>
      </c>
      <c r="B109" s="527">
        <v>468.12</v>
      </c>
      <c r="C109" s="519" t="s">
        <v>149</v>
      </c>
      <c r="D109" s="518">
        <v>579.71</v>
      </c>
      <c r="E109" s="519" t="s">
        <v>150</v>
      </c>
      <c r="O109" s="158"/>
      <c r="P109" s="158"/>
      <c r="Q109" s="245"/>
      <c r="R109" s="391"/>
      <c r="S109" s="391"/>
      <c r="T109" s="391"/>
      <c r="U109" s="246"/>
    </row>
    <row r="116" spans="1:2">
      <c r="B116" s="197"/>
    </row>
    <row r="117" spans="1:2">
      <c r="B117" s="197"/>
    </row>
    <row r="118" spans="1:2">
      <c r="A118" s="48"/>
    </row>
    <row r="119" spans="1:2">
      <c r="A119" s="48"/>
    </row>
    <row r="120" spans="1:2">
      <c r="A120" s="48"/>
    </row>
    <row r="121" spans="1:2">
      <c r="A121" s="48"/>
    </row>
    <row r="122" spans="1:2">
      <c r="A122" s="48"/>
    </row>
    <row r="123" spans="1:2">
      <c r="A123" s="48"/>
    </row>
  </sheetData>
  <mergeCells count="42">
    <mergeCell ref="I63:P63"/>
    <mergeCell ref="I65:P65"/>
    <mergeCell ref="I66:P66"/>
    <mergeCell ref="I59:P59"/>
    <mergeCell ref="I60:P60"/>
    <mergeCell ref="I61:P61"/>
    <mergeCell ref="I62:P62"/>
    <mergeCell ref="I64:P64"/>
    <mergeCell ref="I53:P53"/>
    <mergeCell ref="I58:P58"/>
    <mergeCell ref="I41:P41"/>
    <mergeCell ref="I42:P42"/>
    <mergeCell ref="I43:P43"/>
    <mergeCell ref="I44:P44"/>
    <mergeCell ref="I37:P37"/>
    <mergeCell ref="I38:P38"/>
    <mergeCell ref="I39:P39"/>
    <mergeCell ref="I40:P40"/>
    <mergeCell ref="I33:P33"/>
    <mergeCell ref="I34:P34"/>
    <mergeCell ref="I35:P35"/>
    <mergeCell ref="I36:P36"/>
    <mergeCell ref="I29:P29"/>
    <mergeCell ref="I30:P30"/>
    <mergeCell ref="I31:P31"/>
    <mergeCell ref="I32:P32"/>
    <mergeCell ref="I25:P25"/>
    <mergeCell ref="I26:P26"/>
    <mergeCell ref="I27:P27"/>
    <mergeCell ref="I28:P28"/>
    <mergeCell ref="I23:P23"/>
    <mergeCell ref="I24:P24"/>
    <mergeCell ref="I17:P17"/>
    <mergeCell ref="I18:P18"/>
    <mergeCell ref="I19:P19"/>
    <mergeCell ref="I20:P20"/>
    <mergeCell ref="I22:P22"/>
    <mergeCell ref="I4:P4"/>
    <mergeCell ref="I14:P14"/>
    <mergeCell ref="I15:P15"/>
    <mergeCell ref="I16:P16"/>
    <mergeCell ref="I21:P21"/>
  </mergeCells>
  <phoneticPr fontId="9" type="noConversion"/>
  <printOptions gridLines="1"/>
  <pageMargins left="0.75" right="0.75" top="1" bottom="1" header="0.5" footer="0.5"/>
  <pageSetup scale="110" orientation="landscape" horizontalDpi="1200" verticalDpi="1200" r:id="rId1"/>
  <headerFooter alignWithMargins="0">
    <oddFooter>&amp;L&amp;Z&amp;F
&amp;A&amp;C&amp;P of &amp;N&amp;R&amp;D, &amp;T</oddFooter>
  </headerFooter>
  <ignoredErrors>
    <ignoredError sqref="K89:K91 K85:K88 K94:K95 D96" unlockedFormula="1"/>
    <ignoredError sqref="F50:G50 F42:G42 G33:H33 G18:H18 D52 F45:F49 G53:G54 D23:F27 E30 F29:F30 D18:F21 D29:D30 F52 G22 D43 G67 E45:E49 G44 G17 G62:G63 F65:G65 D65 C42 D46:D49 C63 D32:D41 E32:E43 F32:F41 F43" formula="1"/>
    <ignoredError sqref="D76:D77 D75 C75 C76:C77 H75 C50 E50" formulaRange="1"/>
    <ignoredError sqref="G78 G77 E75:E77 F75:F77 G74:G75" formula="1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R86"/>
  <sheetViews>
    <sheetView topLeftCell="A15" workbookViewId="0">
      <selection activeCell="A51" sqref="A51"/>
    </sheetView>
  </sheetViews>
  <sheetFormatPr defaultColWidth="5.7109375" defaultRowHeight="12.75"/>
  <cols>
    <col min="1" max="1" width="16.85546875" customWidth="1"/>
    <col min="2" max="7" width="6.28515625" customWidth="1"/>
    <col min="8" max="8" width="7.85546875" customWidth="1"/>
    <col min="9" max="22" width="6.28515625" customWidth="1"/>
    <col min="23" max="24" width="10.42578125" customWidth="1"/>
    <col min="25" max="25" width="8.140625" customWidth="1"/>
    <col min="26" max="41" width="6.28515625" customWidth="1"/>
  </cols>
  <sheetData>
    <row r="1" spans="1:28" ht="15.75">
      <c r="A1" s="293" t="s">
        <v>192</v>
      </c>
      <c r="B1" s="25"/>
      <c r="C1" s="25"/>
      <c r="D1" s="38" t="s">
        <v>137</v>
      </c>
      <c r="O1" s="148"/>
    </row>
    <row r="2" spans="1:28">
      <c r="A2" s="195" t="s">
        <v>193</v>
      </c>
      <c r="B2" s="25"/>
      <c r="C2" s="25"/>
      <c r="D2" s="27"/>
      <c r="E2" s="195"/>
      <c r="F2" s="27"/>
      <c r="G2" s="27"/>
      <c r="H2" s="27"/>
      <c r="I2" s="27"/>
      <c r="J2" s="28"/>
      <c r="K2" s="28"/>
      <c r="L2" s="28"/>
      <c r="M2" s="187"/>
      <c r="N2" s="33"/>
      <c r="O2" s="33"/>
      <c r="P2" s="33"/>
      <c r="Q2" s="194"/>
      <c r="R2" s="2"/>
      <c r="T2" s="2"/>
      <c r="U2" s="2"/>
      <c r="V2" s="2"/>
      <c r="W2" s="2"/>
      <c r="X2" s="2"/>
    </row>
    <row r="3" spans="1:28">
      <c r="A3" s="43" t="s">
        <v>194</v>
      </c>
      <c r="B3" s="25"/>
      <c r="C3" s="25"/>
      <c r="D3" s="25"/>
      <c r="E3" s="25"/>
      <c r="F3" s="25"/>
      <c r="G3" s="25"/>
      <c r="H3" s="26" t="s">
        <v>358</v>
      </c>
      <c r="I3" s="27"/>
      <c r="J3" s="27"/>
      <c r="K3" s="27"/>
      <c r="L3" s="30"/>
      <c r="M3" s="26" t="s">
        <v>187</v>
      </c>
      <c r="N3" s="188"/>
      <c r="O3" s="33"/>
      <c r="P3" s="33"/>
      <c r="Q3" s="32"/>
      <c r="S3" s="150"/>
      <c r="T3" s="114"/>
      <c r="U3" s="114"/>
      <c r="V3" s="114"/>
      <c r="W3" s="114"/>
      <c r="X3" s="114"/>
    </row>
    <row r="4" spans="1:28">
      <c r="A4" s="51">
        <f>'Summary &amp; ICD'!B94</f>
        <v>5.5</v>
      </c>
      <c r="B4" s="25" t="s">
        <v>146</v>
      </c>
      <c r="C4" s="25"/>
      <c r="D4" s="25"/>
      <c r="E4" s="25"/>
      <c r="F4" s="25"/>
      <c r="G4" s="25"/>
      <c r="H4" s="29" t="s">
        <v>2</v>
      </c>
      <c r="I4" s="27"/>
      <c r="J4" s="25"/>
      <c r="K4" s="266">
        <v>3.3999999999999998E-3</v>
      </c>
      <c r="L4" s="29" t="s">
        <v>3</v>
      </c>
      <c r="M4" s="32"/>
      <c r="N4" s="33"/>
      <c r="O4" s="33"/>
      <c r="P4" s="189"/>
      <c r="Q4" s="32"/>
      <c r="S4" s="500" t="s">
        <v>527</v>
      </c>
      <c r="T4" s="114"/>
      <c r="U4" s="114"/>
      <c r="V4" s="114"/>
      <c r="W4" s="114"/>
      <c r="X4" s="114"/>
    </row>
    <row r="5" spans="1:28">
      <c r="A5" s="26" t="s">
        <v>155</v>
      </c>
      <c r="B5" s="27"/>
      <c r="C5" s="25"/>
      <c r="D5" s="25"/>
      <c r="E5" s="25"/>
      <c r="F5" s="25"/>
      <c r="G5" s="25"/>
      <c r="H5" s="29" t="s">
        <v>6</v>
      </c>
      <c r="I5" s="27"/>
      <c r="J5" s="25"/>
      <c r="K5" s="305">
        <v>2.1000000000000001E-4</v>
      </c>
      <c r="L5" s="29" t="s">
        <v>3</v>
      </c>
      <c r="M5" s="42"/>
      <c r="N5" s="33"/>
      <c r="O5" s="33"/>
      <c r="P5" s="190"/>
      <c r="Q5" s="32"/>
      <c r="R5" s="1"/>
      <c r="S5" s="501" t="s">
        <v>528</v>
      </c>
      <c r="T5" s="502" t="s">
        <v>530</v>
      </c>
      <c r="U5" s="537"/>
      <c r="V5" s="537"/>
      <c r="W5" s="537" t="s">
        <v>564</v>
      </c>
      <c r="X5" s="537"/>
    </row>
    <row r="6" spans="1:28">
      <c r="A6" s="196">
        <f>'Summary &amp; ICD'!B96</f>
        <v>83.1</v>
      </c>
      <c r="B6" s="29" t="s">
        <v>0</v>
      </c>
      <c r="C6" s="196">
        <f>'Summary &amp; ICD'!D96</f>
        <v>42.125900000000001</v>
      </c>
      <c r="D6" s="29" t="s">
        <v>1</v>
      </c>
      <c r="E6" s="196">
        <f>'Summary &amp; ICD'!F96</f>
        <v>647</v>
      </c>
      <c r="F6" s="29" t="s">
        <v>151</v>
      </c>
      <c r="G6" s="25"/>
      <c r="H6" s="29" t="s">
        <v>8</v>
      </c>
      <c r="I6" s="27"/>
      <c r="J6" s="25"/>
      <c r="K6" s="536">
        <v>8.6499999999999994E-2</v>
      </c>
      <c r="L6" s="29" t="s">
        <v>562</v>
      </c>
      <c r="M6" s="191"/>
      <c r="N6" s="33"/>
      <c r="O6" s="33"/>
      <c r="P6" s="190"/>
      <c r="Q6" s="33"/>
      <c r="R6" s="1"/>
      <c r="S6" s="507" t="s">
        <v>529</v>
      </c>
      <c r="T6" s="508" t="s">
        <v>531</v>
      </c>
      <c r="U6" s="537"/>
      <c r="V6" s="537"/>
      <c r="W6" s="537" t="s">
        <v>565</v>
      </c>
      <c r="X6" s="537"/>
    </row>
    <row r="7" spans="1:28">
      <c r="A7" s="34" t="s">
        <v>69</v>
      </c>
      <c r="B7" s="25"/>
      <c r="C7" s="27"/>
      <c r="D7" s="25"/>
      <c r="E7" s="25"/>
      <c r="F7" s="29"/>
      <c r="G7" s="25"/>
      <c r="H7" s="29" t="s">
        <v>145</v>
      </c>
      <c r="I7" s="27"/>
      <c r="J7" s="25"/>
      <c r="K7" s="514">
        <v>4.2999999999999997E-2</v>
      </c>
      <c r="L7" s="29" t="s">
        <v>4</v>
      </c>
      <c r="M7" s="192"/>
      <c r="N7" s="188"/>
      <c r="O7" s="33"/>
      <c r="P7" s="190"/>
      <c r="Q7" s="33"/>
      <c r="S7" s="503">
        <v>21</v>
      </c>
      <c r="T7" s="504">
        <v>0.4</v>
      </c>
      <c r="U7" s="538"/>
      <c r="V7" s="538"/>
      <c r="W7" s="538">
        <v>4.75</v>
      </c>
      <c r="X7" s="538"/>
    </row>
    <row r="8" spans="1:28">
      <c r="A8" s="196">
        <f>'Summary &amp; ICD'!B98</f>
        <v>240.90343705107756</v>
      </c>
      <c r="B8" s="43" t="s">
        <v>147</v>
      </c>
      <c r="C8" s="25"/>
      <c r="D8" s="196">
        <f>'Summary &amp; ICD'!E98</f>
        <v>359.7691313548404</v>
      </c>
      <c r="E8" s="44" t="s">
        <v>148</v>
      </c>
      <c r="F8" s="25"/>
      <c r="G8" s="25"/>
      <c r="H8" s="29" t="s">
        <v>9</v>
      </c>
      <c r="I8" s="25"/>
      <c r="J8" s="25"/>
      <c r="K8" s="515">
        <f>35.625/39.37</f>
        <v>0.90487680975361962</v>
      </c>
      <c r="L8" s="29" t="s">
        <v>7</v>
      </c>
      <c r="M8" s="192"/>
      <c r="N8" s="188"/>
      <c r="O8" s="33"/>
      <c r="P8" s="189"/>
      <c r="Q8" s="33"/>
      <c r="S8" s="503">
        <v>27</v>
      </c>
      <c r="T8" s="504">
        <v>0.53</v>
      </c>
      <c r="U8" s="538"/>
      <c r="V8" s="538"/>
      <c r="W8" s="538"/>
      <c r="X8" s="538"/>
    </row>
    <row r="9" spans="1:28">
      <c r="A9" s="34" t="s">
        <v>171</v>
      </c>
      <c r="B9" s="33"/>
      <c r="C9" s="33"/>
      <c r="D9" s="33"/>
      <c r="E9" s="186"/>
      <c r="F9" s="234"/>
      <c r="G9" s="29"/>
      <c r="H9" s="29" t="s">
        <v>10</v>
      </c>
      <c r="I9" s="27"/>
      <c r="J9" s="25"/>
      <c r="K9" s="515">
        <v>0.77900000000000003</v>
      </c>
      <c r="L9" s="29" t="s">
        <v>7</v>
      </c>
      <c r="M9" s="192"/>
      <c r="N9" s="188"/>
      <c r="O9" s="33"/>
      <c r="P9" s="193"/>
      <c r="Q9" s="33"/>
      <c r="S9" s="505">
        <v>33</v>
      </c>
      <c r="T9" s="506">
        <v>0.66</v>
      </c>
      <c r="U9" s="538"/>
      <c r="V9" s="538"/>
      <c r="W9" s="538"/>
      <c r="X9" s="538"/>
      <c r="AA9" s="2"/>
    </row>
    <row r="10" spans="1:28">
      <c r="A10" s="51">
        <f>'Summary &amp; ICD'!B100</f>
        <v>35</v>
      </c>
      <c r="B10" s="33" t="s">
        <v>149</v>
      </c>
      <c r="C10" s="51">
        <f>'Summary &amp; ICD'!D100</f>
        <v>35</v>
      </c>
      <c r="D10" s="33" t="s">
        <v>150</v>
      </c>
      <c r="E10" s="33"/>
      <c r="F10" s="25"/>
      <c r="G10" s="25"/>
      <c r="H10" s="29" t="s">
        <v>52</v>
      </c>
      <c r="I10" s="27"/>
      <c r="J10" s="25"/>
      <c r="K10" s="39">
        <v>3</v>
      </c>
      <c r="L10" s="29" t="s">
        <v>7</v>
      </c>
      <c r="M10" s="41" t="s">
        <v>214</v>
      </c>
      <c r="N10" s="31"/>
      <c r="O10" s="25"/>
      <c r="P10" s="37">
        <f>AXB!P10</f>
        <v>42.674996185653768</v>
      </c>
      <c r="Q10" s="29" t="s">
        <v>5</v>
      </c>
      <c r="S10" s="151"/>
      <c r="T10" s="114"/>
      <c r="U10" s="114"/>
      <c r="V10" s="114"/>
      <c r="W10" s="114"/>
      <c r="X10" s="114"/>
      <c r="AA10" s="10"/>
    </row>
    <row r="11" spans="1:28">
      <c r="A11" s="34" t="s">
        <v>161</v>
      </c>
      <c r="B11" s="25"/>
      <c r="C11" s="25"/>
      <c r="D11" s="247"/>
      <c r="E11" s="52"/>
      <c r="F11" s="243" t="s">
        <v>152</v>
      </c>
      <c r="G11" s="25"/>
      <c r="H11" s="32" t="s">
        <v>66</v>
      </c>
      <c r="I11" s="36"/>
      <c r="J11" s="25"/>
      <c r="K11" s="47">
        <v>100</v>
      </c>
      <c r="L11" s="29" t="s">
        <v>7</v>
      </c>
      <c r="M11" s="41" t="s">
        <v>172</v>
      </c>
      <c r="N11" s="31"/>
      <c r="O11" s="25"/>
      <c r="P11" s="37">
        <f>'Summary &amp; ICD'!R95</f>
        <v>49.827299230942991</v>
      </c>
      <c r="Q11" s="29" t="s">
        <v>5</v>
      </c>
      <c r="R11" s="2"/>
      <c r="S11" s="145"/>
      <c r="T11" s="114"/>
      <c r="U11" s="114"/>
      <c r="V11" s="114"/>
      <c r="W11" s="114"/>
      <c r="X11" s="114"/>
      <c r="AA11" s="153"/>
    </row>
    <row r="12" spans="1:28">
      <c r="A12" s="49">
        <f>'Summary &amp; ICD'!B102</f>
        <v>460.04</v>
      </c>
      <c r="B12" s="33" t="s">
        <v>149</v>
      </c>
      <c r="C12" s="49">
        <f>'Summary &amp; ICD'!D102</f>
        <v>577.41999999999996</v>
      </c>
      <c r="D12" s="33" t="s">
        <v>150</v>
      </c>
      <c r="E12" s="227"/>
      <c r="F12" s="233">
        <f>'Summary &amp; ICD'!G102</f>
        <v>0.16396954990787349</v>
      </c>
      <c r="G12" s="29"/>
      <c r="H12" s="32" t="s">
        <v>67</v>
      </c>
      <c r="I12" s="36"/>
      <c r="J12" s="25"/>
      <c r="K12" s="47">
        <v>100</v>
      </c>
      <c r="L12" s="29" t="s">
        <v>7</v>
      </c>
      <c r="M12" s="25" t="s">
        <v>154</v>
      </c>
      <c r="N12" s="25"/>
      <c r="O12" s="25"/>
      <c r="P12" s="37">
        <f>2*AI50</f>
        <v>16.050010798583813</v>
      </c>
      <c r="Q12" s="29" t="s">
        <v>5</v>
      </c>
      <c r="R12" s="1"/>
      <c r="S12" s="152"/>
      <c r="T12" s="114"/>
      <c r="U12" s="114"/>
      <c r="V12" s="114"/>
      <c r="W12" s="114"/>
      <c r="X12" s="114"/>
      <c r="AA12" s="154"/>
    </row>
    <row r="13" spans="1:28">
      <c r="A13" s="12" t="s">
        <v>135</v>
      </c>
      <c r="G13" s="241">
        <f>C12*H23*2*PI()/60</f>
        <v>423.27096700835756</v>
      </c>
      <c r="H13" t="s">
        <v>136</v>
      </c>
      <c r="I13" s="155"/>
      <c r="J13" s="155"/>
      <c r="K13" s="156"/>
      <c r="L13" s="157"/>
      <c r="M13" s="158" t="s">
        <v>156</v>
      </c>
      <c r="N13" s="158"/>
      <c r="O13" s="158"/>
      <c r="P13" s="286">
        <f>G50-C12</f>
        <v>1721.1143283949473</v>
      </c>
      <c r="Q13" s="246" t="s">
        <v>5</v>
      </c>
      <c r="S13" s="145"/>
      <c r="T13" s="114"/>
      <c r="U13" s="114"/>
      <c r="V13" s="114"/>
      <c r="W13" s="114"/>
      <c r="X13" s="114"/>
      <c r="AA13" s="146"/>
    </row>
    <row r="14" spans="1:28" ht="15.75">
      <c r="A14" s="12" t="s">
        <v>71</v>
      </c>
      <c r="G14" s="241">
        <f>G50*H50*2*PI()/60</f>
        <v>1323.8607360200779</v>
      </c>
      <c r="H14" t="s">
        <v>136</v>
      </c>
      <c r="I14" s="155"/>
      <c r="J14" s="155"/>
      <c r="K14" s="156"/>
      <c r="L14" s="157"/>
      <c r="M14" s="158"/>
      <c r="N14" s="158"/>
      <c r="O14" s="158"/>
      <c r="P14" s="159"/>
      <c r="Q14" s="158"/>
      <c r="S14" s="145"/>
      <c r="T14" s="114"/>
      <c r="U14" s="114"/>
      <c r="V14" s="114"/>
      <c r="W14" s="114"/>
      <c r="X14" s="114"/>
      <c r="AA14" s="146"/>
    </row>
    <row r="15" spans="1:28">
      <c r="I15" s="155"/>
      <c r="J15" s="155"/>
      <c r="K15" s="156"/>
      <c r="L15" s="157"/>
      <c r="N15" s="158"/>
      <c r="Q15" s="158"/>
      <c r="S15" s="145"/>
      <c r="T15" s="114"/>
      <c r="U15" s="114"/>
      <c r="V15" s="114"/>
      <c r="W15" s="114"/>
      <c r="X15" s="114"/>
      <c r="AA15" s="146"/>
    </row>
    <row r="16" spans="1:28">
      <c r="A16" s="13"/>
      <c r="B16" s="12" t="s">
        <v>13</v>
      </c>
      <c r="H16" s="144"/>
      <c r="I16" s="109"/>
      <c r="J16" s="109"/>
      <c r="K16" s="156"/>
      <c r="L16" s="158"/>
      <c r="M16" s="158"/>
      <c r="O16" s="269">
        <v>0.5</v>
      </c>
      <c r="P16" s="197" t="s">
        <v>223</v>
      </c>
      <c r="Q16" s="158"/>
      <c r="AB16" s="2"/>
    </row>
    <row r="17" spans="1:41">
      <c r="A17" s="1" t="s">
        <v>11</v>
      </c>
      <c r="B17" s="2"/>
      <c r="C17" s="516">
        <f>T9/100</f>
        <v>6.6E-3</v>
      </c>
      <c r="D17" s="509" t="s">
        <v>12</v>
      </c>
      <c r="E17" s="268">
        <f>2*0.9</f>
        <v>1.8</v>
      </c>
      <c r="F17" s="197" t="s">
        <v>201</v>
      </c>
      <c r="H17" s="290">
        <f>45/39.37</f>
        <v>1.1430022860045721</v>
      </c>
      <c r="I17" s="197" t="s">
        <v>202</v>
      </c>
      <c r="M17" s="1" t="s">
        <v>24</v>
      </c>
      <c r="O17" s="269">
        <v>2</v>
      </c>
      <c r="P17" s="197" t="s">
        <v>224</v>
      </c>
      <c r="Q17" s="2"/>
      <c r="AC17" s="2"/>
      <c r="AE17" s="2"/>
      <c r="AF17" s="2"/>
      <c r="AG17" s="2"/>
      <c r="AH17" s="2"/>
      <c r="AJ17" s="2"/>
      <c r="AK17" s="13" t="s">
        <v>53</v>
      </c>
      <c r="AL17" s="2"/>
      <c r="AM17" s="2"/>
    </row>
    <row r="18" spans="1:41">
      <c r="A18" s="13" t="s">
        <v>56</v>
      </c>
      <c r="B18" s="13"/>
      <c r="E18" s="21">
        <f>K11/K12-1</f>
        <v>0</v>
      </c>
      <c r="F18" s="2" t="s">
        <v>62</v>
      </c>
      <c r="G18" s="2"/>
      <c r="H18" s="2"/>
      <c r="I18" s="1" t="s">
        <v>138</v>
      </c>
      <c r="J18" s="1" t="s">
        <v>139</v>
      </c>
      <c r="K18" s="1" t="s">
        <v>138</v>
      </c>
      <c r="L18" s="1" t="s">
        <v>139</v>
      </c>
      <c r="M18" s="267" t="s">
        <v>221</v>
      </c>
      <c r="O18" s="1" t="s">
        <v>220</v>
      </c>
      <c r="R18" s="2"/>
      <c r="Y18" s="13" t="s">
        <v>64</v>
      </c>
      <c r="AD18" s="1"/>
      <c r="AE18" s="13" t="s">
        <v>65</v>
      </c>
      <c r="AK18" s="1" t="s">
        <v>14</v>
      </c>
      <c r="AL18" s="2"/>
      <c r="AM18" s="2"/>
      <c r="AN18" s="1" t="s">
        <v>15</v>
      </c>
      <c r="AO18" s="2"/>
    </row>
    <row r="19" spans="1:41">
      <c r="A19" s="2"/>
      <c r="B19" s="2"/>
      <c r="C19" s="1" t="s">
        <v>138</v>
      </c>
      <c r="D19" s="1" t="s">
        <v>139</v>
      </c>
      <c r="E19" s="1" t="s">
        <v>138</v>
      </c>
      <c r="F19" s="1" t="s">
        <v>139</v>
      </c>
      <c r="G19" s="1" t="s">
        <v>20</v>
      </c>
      <c r="H19" s="1" t="s">
        <v>21</v>
      </c>
      <c r="I19" s="1" t="s">
        <v>22</v>
      </c>
      <c r="J19" s="1" t="s">
        <v>22</v>
      </c>
      <c r="K19" s="1" t="s">
        <v>23</v>
      </c>
      <c r="L19" s="1" t="s">
        <v>23</v>
      </c>
      <c r="M19" s="267" t="s">
        <v>198</v>
      </c>
      <c r="N19" s="267" t="s">
        <v>208</v>
      </c>
      <c r="O19" s="1" t="s">
        <v>138</v>
      </c>
      <c r="P19" s="1" t="s">
        <v>139</v>
      </c>
      <c r="R19" s="2"/>
      <c r="U19" s="1" t="s">
        <v>138</v>
      </c>
      <c r="V19" s="1" t="s">
        <v>139</v>
      </c>
      <c r="W19" s="1" t="s">
        <v>138</v>
      </c>
      <c r="X19" s="1" t="s">
        <v>139</v>
      </c>
      <c r="Y19" s="1" t="s">
        <v>59</v>
      </c>
      <c r="Z19" s="1" t="s">
        <v>16</v>
      </c>
      <c r="AA19" s="1" t="s">
        <v>17</v>
      </c>
      <c r="AB19" s="1" t="s">
        <v>18</v>
      </c>
      <c r="AC19" s="1" t="s">
        <v>19</v>
      </c>
      <c r="AD19" s="1"/>
      <c r="AE19" s="1" t="s">
        <v>59</v>
      </c>
      <c r="AF19" s="1" t="s">
        <v>16</v>
      </c>
      <c r="AG19" s="1" t="s">
        <v>17</v>
      </c>
      <c r="AH19" s="1" t="s">
        <v>18</v>
      </c>
      <c r="AI19" s="1" t="s">
        <v>19</v>
      </c>
      <c r="AJ19" s="1"/>
      <c r="AK19" s="1" t="s">
        <v>24</v>
      </c>
      <c r="AL19" s="1" t="s">
        <v>25</v>
      </c>
      <c r="AM19" s="1" t="s">
        <v>26</v>
      </c>
      <c r="AN19" s="1" t="s">
        <v>27</v>
      </c>
      <c r="AO19" s="1" t="s">
        <v>178</v>
      </c>
    </row>
    <row r="20" spans="1:41" ht="14.25">
      <c r="A20" s="3" t="s">
        <v>28</v>
      </c>
      <c r="B20" s="3"/>
      <c r="C20" s="1" t="s">
        <v>29</v>
      </c>
      <c r="D20" s="1" t="s">
        <v>29</v>
      </c>
      <c r="E20" s="1" t="s">
        <v>30</v>
      </c>
      <c r="F20" s="1" t="s">
        <v>30</v>
      </c>
      <c r="G20" s="1" t="s">
        <v>31</v>
      </c>
      <c r="H20" s="1" t="s">
        <v>32</v>
      </c>
      <c r="I20" s="1" t="s">
        <v>33</v>
      </c>
      <c r="J20" s="1" t="s">
        <v>33</v>
      </c>
      <c r="K20" s="1" t="s">
        <v>34</v>
      </c>
      <c r="L20" s="1" t="s">
        <v>34</v>
      </c>
      <c r="M20" s="15" t="s">
        <v>222</v>
      </c>
      <c r="N20" s="267" t="s">
        <v>209</v>
      </c>
      <c r="O20" s="270" t="s">
        <v>203</v>
      </c>
      <c r="R20" s="2"/>
      <c r="U20" s="1" t="s">
        <v>563</v>
      </c>
      <c r="V20" s="1" t="s">
        <v>563</v>
      </c>
      <c r="W20" s="1" t="s">
        <v>29</v>
      </c>
      <c r="X20" s="1" t="s">
        <v>29</v>
      </c>
      <c r="Y20" s="1" t="s">
        <v>61</v>
      </c>
      <c r="Z20" s="1" t="s">
        <v>54</v>
      </c>
      <c r="AA20" s="1" t="s">
        <v>54</v>
      </c>
      <c r="AB20" s="1" t="s">
        <v>57</v>
      </c>
      <c r="AC20" s="1" t="s">
        <v>60</v>
      </c>
      <c r="AD20" s="1"/>
      <c r="AE20" s="1" t="s">
        <v>61</v>
      </c>
      <c r="AF20" s="1" t="s">
        <v>54</v>
      </c>
      <c r="AG20" s="1" t="s">
        <v>54</v>
      </c>
      <c r="AH20" s="1" t="s">
        <v>57</v>
      </c>
      <c r="AI20" s="1" t="s">
        <v>60</v>
      </c>
      <c r="AJ20" s="1"/>
      <c r="AK20" s="9" t="s">
        <v>35</v>
      </c>
      <c r="AL20" s="9" t="s">
        <v>36</v>
      </c>
      <c r="AM20" s="9" t="s">
        <v>37</v>
      </c>
      <c r="AN20" s="1" t="s">
        <v>38</v>
      </c>
      <c r="AO20" s="1" t="s">
        <v>218</v>
      </c>
    </row>
    <row r="21" spans="1:41">
      <c r="A21" s="2"/>
      <c r="B21" s="2"/>
      <c r="C21" s="1" t="s">
        <v>39</v>
      </c>
      <c r="D21" s="1" t="s">
        <v>39</v>
      </c>
      <c r="E21" s="1" t="s">
        <v>40</v>
      </c>
      <c r="F21" s="1" t="s">
        <v>40</v>
      </c>
      <c r="G21" s="1" t="s">
        <v>40</v>
      </c>
      <c r="H21" s="1" t="s">
        <v>41</v>
      </c>
      <c r="I21" s="1" t="s">
        <v>42</v>
      </c>
      <c r="J21" s="1" t="s">
        <v>42</v>
      </c>
      <c r="K21" s="1" t="s">
        <v>43</v>
      </c>
      <c r="L21" s="1" t="s">
        <v>43</v>
      </c>
      <c r="M21" s="267" t="s">
        <v>200</v>
      </c>
      <c r="N21" s="267" t="s">
        <v>210</v>
      </c>
      <c r="O21" s="267" t="s">
        <v>200</v>
      </c>
      <c r="P21" s="267" t="s">
        <v>200</v>
      </c>
      <c r="Q21" s="274" t="s">
        <v>199</v>
      </c>
      <c r="R21" s="271" t="s">
        <v>219</v>
      </c>
      <c r="S21" s="278" t="s">
        <v>205</v>
      </c>
      <c r="U21" s="1" t="s">
        <v>39</v>
      </c>
      <c r="V21" s="1" t="s">
        <v>39</v>
      </c>
      <c r="W21" s="1" t="s">
        <v>566</v>
      </c>
      <c r="X21" s="1" t="s">
        <v>566</v>
      </c>
      <c r="Y21" s="15" t="s">
        <v>45</v>
      </c>
      <c r="Z21" s="15" t="s">
        <v>46</v>
      </c>
      <c r="AA21" s="15" t="s">
        <v>63</v>
      </c>
      <c r="AB21" s="15" t="s">
        <v>47</v>
      </c>
      <c r="AC21" s="15" t="s">
        <v>63</v>
      </c>
      <c r="AD21" s="1"/>
      <c r="AE21" s="15" t="s">
        <v>45</v>
      </c>
      <c r="AF21" s="15" t="s">
        <v>46</v>
      </c>
      <c r="AG21" s="15" t="s">
        <v>63</v>
      </c>
      <c r="AH21" s="15" t="s">
        <v>47</v>
      </c>
      <c r="AI21" s="15" t="s">
        <v>63</v>
      </c>
      <c r="AJ21" s="15"/>
      <c r="AK21" s="9" t="s">
        <v>44</v>
      </c>
      <c r="AL21" s="9" t="s">
        <v>44</v>
      </c>
      <c r="AM21" s="9" t="s">
        <v>44</v>
      </c>
      <c r="AN21" s="9" t="s">
        <v>44</v>
      </c>
      <c r="AO21" s="9" t="s">
        <v>44</v>
      </c>
    </row>
    <row r="22" spans="1:41" ht="13.5" thickBot="1">
      <c r="A22" s="13" t="s">
        <v>48</v>
      </c>
      <c r="B22" s="13"/>
      <c r="C22" s="2"/>
      <c r="D22" s="2"/>
      <c r="E22" s="2"/>
      <c r="F22" s="2"/>
      <c r="G22" s="2"/>
      <c r="H22" s="4"/>
      <c r="I22" s="2"/>
      <c r="K22" s="2"/>
      <c r="M22" s="2"/>
      <c r="Q22" s="275" t="s">
        <v>206</v>
      </c>
      <c r="R22" s="271" t="s">
        <v>204</v>
      </c>
      <c r="S22" s="278" t="s">
        <v>207</v>
      </c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5"/>
    </row>
    <row r="23" spans="1:41" ht="13.5" thickBot="1">
      <c r="A23" s="13" t="s">
        <v>49</v>
      </c>
      <c r="B23" s="13"/>
      <c r="C23" s="6">
        <v>0</v>
      </c>
      <c r="D23" s="6">
        <v>0</v>
      </c>
      <c r="E23" s="16">
        <f t="shared" ref="E23:F30" si="0">((C23+$K$8)^3-$K$8^3)*$K$4/3+((C23+$K$8)^2)*($K$5*$K$10)+((C23+$K$8)^2-$K$8^2)*$K$6+((C23+$K$8)^2-$K$8^2)*$K$7</f>
        <v>5.1584528572282964E-4</v>
      </c>
      <c r="F23" s="16">
        <f t="shared" si="0"/>
        <v>5.1584528572282964E-4</v>
      </c>
      <c r="G23" s="22">
        <f t="shared" ref="G23:G50" si="1">$C$12+2*E23+2*F23</f>
        <v>577.42206338114295</v>
      </c>
      <c r="H23" s="520">
        <v>7</v>
      </c>
      <c r="I23" s="5">
        <f t="shared" ref="I23:I47" si="2">(H23*2*PI()/60)^2*(C23+$K$8)/9.8</f>
        <v>4.9615423022155679E-2</v>
      </c>
      <c r="J23" s="5">
        <f>(H23*2*PI()/60)^2*(D23+$K$8)/9.8</f>
        <v>4.9615423022155679E-2</v>
      </c>
      <c r="K23" s="16">
        <f t="shared" ref="K23:K50" si="3">(((C23-$K$10+$K$8)^2-K$8^2)*K$4/2+((C23+$K$8)^2-(C23-$K$10+$K$8)^2)*$K$5/2+(C23+$K$8)*K$6+(C23-$K$10+$K$8)*K$7)*(H23*2*PI()/60)^2</f>
        <v>-3.2902309634510007E-3</v>
      </c>
      <c r="L23" s="16">
        <v>0</v>
      </c>
      <c r="M23" s="5">
        <f t="shared" ref="M23:M50" si="4">ATAN(2*$C$17/($K$9*H23*2*PI()/60))*180/PI()</f>
        <v>1.3242046600120025</v>
      </c>
      <c r="N23" s="279">
        <f t="shared" ref="N23:N31" si="5">2*O$16*H23/60</f>
        <v>0.11666666666666667</v>
      </c>
      <c r="O23" s="280">
        <f>(180/PI())*ATAN((N23*$E$17*$H$17) / $G23 /($H23*2*PI()/60)^2)*(C23/$K$9)</f>
        <v>0</v>
      </c>
      <c r="P23" s="280">
        <f>(180/PI())*ATAN((N23*$E$17*$H$17) / $G23 /($H23*2*PI()/60)^2)*(D23/$K$9)</f>
        <v>0</v>
      </c>
      <c r="R23" s="273">
        <f>C23/C$17</f>
        <v>0</v>
      </c>
      <c r="S23" s="277">
        <f>SUM(R$23:R23)/60</f>
        <v>0</v>
      </c>
      <c r="U23" s="299">
        <f>C23+$K$8</f>
        <v>0.90487680975361962</v>
      </c>
      <c r="V23" s="299">
        <f>D23+$K$8</f>
        <v>0.90487680975361962</v>
      </c>
      <c r="W23" s="349">
        <f>100*C23/$W$7</f>
        <v>0</v>
      </c>
      <c r="X23" s="349">
        <f>100*D23/$W$7</f>
        <v>0</v>
      </c>
      <c r="Y23" s="23" t="s">
        <v>58</v>
      </c>
      <c r="AE23" s="2"/>
      <c r="AF23" s="5"/>
      <c r="AG23" s="5"/>
      <c r="AH23" s="5"/>
      <c r="AI23" s="11"/>
      <c r="AJ23" s="2"/>
      <c r="AL23" s="11"/>
      <c r="AM23" s="11"/>
      <c r="AN23" s="5"/>
      <c r="AO23" s="5"/>
    </row>
    <row r="24" spans="1:41">
      <c r="A24" s="14"/>
      <c r="B24" s="14"/>
      <c r="C24" s="6">
        <f>C23+2</f>
        <v>2</v>
      </c>
      <c r="D24" s="6">
        <f>D23</f>
        <v>0</v>
      </c>
      <c r="E24" s="16">
        <f t="shared" si="0"/>
        <v>1.018983167455636</v>
      </c>
      <c r="F24" s="16">
        <f t="shared" si="0"/>
        <v>5.1584528572282964E-4</v>
      </c>
      <c r="G24" s="22">
        <f t="shared" si="1"/>
        <v>579.45899802548274</v>
      </c>
      <c r="H24" s="149">
        <f>G23*H23/G24</f>
        <v>6.9753933538715165</v>
      </c>
      <c r="I24" s="5">
        <f t="shared" si="2"/>
        <v>0.15815986521873032</v>
      </c>
      <c r="J24" s="5">
        <f>(H24*2*PI()/60)^2*(D24+$K$8)/9.8</f>
        <v>4.9267216354804952E-2</v>
      </c>
      <c r="K24" s="16">
        <f t="shared" si="3"/>
        <v>0.13162738531559387</v>
      </c>
      <c r="L24" s="16">
        <v>0</v>
      </c>
      <c r="M24" s="5">
        <f t="shared" si="4"/>
        <v>1.328874299461394</v>
      </c>
      <c r="N24" s="279">
        <f t="shared" si="5"/>
        <v>0.1162565558978586</v>
      </c>
      <c r="O24" s="280">
        <f t="shared" ref="O24:O30" si="6">(180/PI())*ATAN((N24*$E$17*$H$17) / $G24 /($H24*2*PI()/60)^2)*(C24/$K$9)</f>
        <v>0.11379804134517983</v>
      </c>
      <c r="P24" s="280">
        <f t="shared" ref="P24:P30" si="7">(180/PI())*ATAN((N24*$E$17*$H$17) / $G24 /($H24*2*PI()/60)^2)*(D24/$K$9)</f>
        <v>0</v>
      </c>
      <c r="R24" s="273">
        <f>(C24-C23)/C$17</f>
        <v>303.03030303030306</v>
      </c>
      <c r="S24" s="277">
        <f>SUM(R$23:R24)/60</f>
        <v>5.0505050505050511</v>
      </c>
      <c r="U24" s="299">
        <f t="shared" ref="U24:U30" si="8">C24+$K$8</f>
        <v>2.9048768097536195</v>
      </c>
      <c r="V24" s="299">
        <f t="shared" ref="V24:V30" si="9">D24+$K$8</f>
        <v>0.90487680975361962</v>
      </c>
      <c r="W24" s="349">
        <f t="shared" ref="W24:W30" si="10">100*C24/$W$7</f>
        <v>42.10526315789474</v>
      </c>
      <c r="X24" s="349">
        <f t="shared" ref="X24:X30" si="11">100*D24/$W$7</f>
        <v>0</v>
      </c>
      <c r="AE24" s="2"/>
      <c r="AF24" s="5"/>
      <c r="AG24" s="5"/>
      <c r="AH24" s="5"/>
      <c r="AI24" s="5"/>
      <c r="AJ24" s="2"/>
      <c r="AK24" s="5"/>
      <c r="AL24" s="5"/>
      <c r="AM24" s="5"/>
      <c r="AN24" s="5"/>
      <c r="AO24" s="5"/>
    </row>
    <row r="25" spans="1:41">
      <c r="A25" s="14"/>
      <c r="B25" s="14"/>
      <c r="C25" s="6">
        <f>C24+2</f>
        <v>4</v>
      </c>
      <c r="D25" s="6">
        <f>D24</f>
        <v>0</v>
      </c>
      <c r="E25" s="16">
        <f t="shared" si="0"/>
        <v>3.1575031388508474</v>
      </c>
      <c r="F25" s="16">
        <f t="shared" si="0"/>
        <v>5.1584528572282964E-4</v>
      </c>
      <c r="G25" s="22">
        <f t="shared" si="1"/>
        <v>583.73603796827319</v>
      </c>
      <c r="H25" s="149">
        <f t="shared" ref="H25:H30" si="12">G24*H24/G25</f>
        <v>6.9242845751587563</v>
      </c>
      <c r="I25" s="5">
        <f t="shared" si="2"/>
        <v>0.26315345779363264</v>
      </c>
      <c r="J25" s="5">
        <f t="shared" ref="J25:J47" si="13">(H25*2*PI()/60)^2*(D25+$K$8)/9.8</f>
        <v>4.8547898469217081E-2</v>
      </c>
      <c r="K25" s="16">
        <f t="shared" si="3"/>
        <v>0.26978125832019018</v>
      </c>
      <c r="L25" s="16">
        <v>0</v>
      </c>
      <c r="M25" s="5">
        <f t="shared" si="4"/>
        <v>1.3386792862360462</v>
      </c>
      <c r="N25" s="279">
        <f t="shared" si="5"/>
        <v>0.1154047429193126</v>
      </c>
      <c r="O25" s="280">
        <f t="shared" si="6"/>
        <v>0.22759608269035975</v>
      </c>
      <c r="P25" s="280">
        <f t="shared" si="7"/>
        <v>0</v>
      </c>
      <c r="R25" s="273">
        <f>(C25-C24)/C$17</f>
        <v>303.03030303030306</v>
      </c>
      <c r="S25" s="277">
        <f>SUM(R$23:R25)/60</f>
        <v>10.101010101010102</v>
      </c>
      <c r="U25" s="299">
        <f t="shared" si="8"/>
        <v>4.9048768097536195</v>
      </c>
      <c r="V25" s="299">
        <f t="shared" si="9"/>
        <v>0.90487680975361962</v>
      </c>
      <c r="W25" s="349">
        <f t="shared" si="10"/>
        <v>84.21052631578948</v>
      </c>
      <c r="X25" s="349">
        <f t="shared" si="11"/>
        <v>0</v>
      </c>
      <c r="AE25" s="2"/>
      <c r="AG25" s="5"/>
      <c r="AH25" s="5"/>
      <c r="AI25" s="5"/>
      <c r="AJ25" s="2"/>
      <c r="AK25" s="5"/>
      <c r="AL25" s="5"/>
      <c r="AM25" s="5"/>
      <c r="AN25" s="5"/>
      <c r="AO25" s="5"/>
    </row>
    <row r="26" spans="1:41">
      <c r="A26" s="13" t="s">
        <v>50</v>
      </c>
      <c r="B26" s="13"/>
      <c r="C26" s="6">
        <f>C25</f>
        <v>4</v>
      </c>
      <c r="D26" s="6">
        <v>1</v>
      </c>
      <c r="E26" s="16">
        <f t="shared" si="0"/>
        <v>3.1575031388508474</v>
      </c>
      <c r="F26" s="16">
        <f t="shared" si="0"/>
        <v>0.37314292521751707</v>
      </c>
      <c r="G26" s="22">
        <f t="shared" si="1"/>
        <v>584.48129212813672</v>
      </c>
      <c r="H26" s="149">
        <f t="shared" si="12"/>
        <v>6.9154556323795502</v>
      </c>
      <c r="I26" s="5">
        <f t="shared" si="2"/>
        <v>0.26248280783147726</v>
      </c>
      <c r="J26" s="5">
        <f t="shared" si="13"/>
        <v>0.10193883210337193</v>
      </c>
      <c r="K26" s="16">
        <f t="shared" si="3"/>
        <v>0.26909371732339071</v>
      </c>
      <c r="L26" s="16">
        <f>(((D26-$K$10+$K$8)^2-K$8^2)*K$4/2+((D26+$K$8)^2-(D26-$K$10+$K$8)^2)*$K$5/2+(D26+$K$8)*K$6+(D26-$K$10+$K$8)*K$7)*(H26*2*PI()/60)^2</f>
        <v>6.2190341470544565E-2</v>
      </c>
      <c r="M26" s="5">
        <f t="shared" si="4"/>
        <v>1.3403877512105566</v>
      </c>
      <c r="N26" s="279">
        <f t="shared" si="5"/>
        <v>0.1152575938729925</v>
      </c>
      <c r="O26" s="280">
        <f t="shared" si="6"/>
        <v>0.22759608269035975</v>
      </c>
      <c r="P26" s="280">
        <f t="shared" si="7"/>
        <v>5.6899020672589937E-2</v>
      </c>
      <c r="R26" s="273">
        <f>(D26-D25)/C$17</f>
        <v>151.51515151515153</v>
      </c>
      <c r="S26" s="277">
        <f>SUM(R$23:R26)/60</f>
        <v>12.626262626262626</v>
      </c>
      <c r="U26" s="299">
        <f t="shared" si="8"/>
        <v>4.9048768097536195</v>
      </c>
      <c r="V26" s="299">
        <f t="shared" si="9"/>
        <v>1.9048768097536195</v>
      </c>
      <c r="W26" s="349">
        <f t="shared" si="10"/>
        <v>84.21052631578948</v>
      </c>
      <c r="X26" s="349">
        <f t="shared" si="11"/>
        <v>21.05263157894737</v>
      </c>
      <c r="AE26" s="2"/>
      <c r="AF26" s="5"/>
      <c r="AG26" s="5"/>
      <c r="AH26" s="5"/>
      <c r="AI26" s="5"/>
      <c r="AJ26" s="2"/>
      <c r="AK26" s="5"/>
      <c r="AL26" s="5"/>
      <c r="AM26" s="5"/>
      <c r="AN26" s="5"/>
      <c r="AO26" s="5"/>
    </row>
    <row r="27" spans="1:41">
      <c r="A27" s="14"/>
      <c r="B27" s="14"/>
      <c r="C27" s="6">
        <f>C26</f>
        <v>4</v>
      </c>
      <c r="D27" s="6">
        <f>D26+1</f>
        <v>2</v>
      </c>
      <c r="E27" s="16">
        <f t="shared" si="0"/>
        <v>3.1575031388508474</v>
      </c>
      <c r="F27" s="16">
        <f t="shared" si="0"/>
        <v>1.018983167455636</v>
      </c>
      <c r="G27" s="22">
        <f t="shared" si="1"/>
        <v>585.77297261261299</v>
      </c>
      <c r="H27" s="149">
        <f t="shared" si="12"/>
        <v>6.9002064496769648</v>
      </c>
      <c r="I27" s="5">
        <f t="shared" si="2"/>
        <v>0.26132648917043944</v>
      </c>
      <c r="J27" s="5">
        <f t="shared" si="13"/>
        <v>0.15476866955271643</v>
      </c>
      <c r="K27" s="16">
        <f t="shared" si="3"/>
        <v>0.26790827554349</v>
      </c>
      <c r="L27" s="16">
        <f>(((D27-$K$10+$K$8)^2-K$8^2)*K$4/2+((D27+$K$8)^2-(D27-$K$10+$K$8)^2)*$K$5/2+(D27+$K$8)*K$6+(D27-$K$10+$K$8)*K$7)*(H27*2*PI()/60)^2</f>
        <v>0.12880508764864998</v>
      </c>
      <c r="M27" s="5">
        <f t="shared" si="4"/>
        <v>1.3433488707523924</v>
      </c>
      <c r="N27" s="279">
        <f t="shared" si="5"/>
        <v>0.11500344082794942</v>
      </c>
      <c r="O27" s="280">
        <f t="shared" si="6"/>
        <v>0.22759608269035975</v>
      </c>
      <c r="P27" s="280">
        <f t="shared" si="7"/>
        <v>0.11379804134517987</v>
      </c>
      <c r="R27" s="273">
        <f>(D27-D26)/C$17</f>
        <v>151.51515151515153</v>
      </c>
      <c r="S27" s="277">
        <f>SUM(R$23:R27)/60</f>
        <v>15.151515151515152</v>
      </c>
      <c r="U27" s="299">
        <f t="shared" si="8"/>
        <v>4.9048768097536195</v>
      </c>
      <c r="V27" s="299">
        <f t="shared" si="9"/>
        <v>2.9048768097536195</v>
      </c>
      <c r="W27" s="349">
        <f t="shared" si="10"/>
        <v>84.21052631578948</v>
      </c>
      <c r="X27" s="349">
        <f t="shared" si="11"/>
        <v>42.10526315789474</v>
      </c>
      <c r="AE27" s="2"/>
      <c r="AF27" s="5"/>
      <c r="AG27" s="5"/>
      <c r="AH27" s="5"/>
      <c r="AI27" s="5"/>
      <c r="AJ27" s="2"/>
      <c r="AK27" s="5"/>
      <c r="AL27" s="5"/>
      <c r="AM27" s="5"/>
      <c r="AN27" s="5"/>
      <c r="AO27" s="5"/>
    </row>
    <row r="28" spans="1:41">
      <c r="A28" s="14"/>
      <c r="B28" s="14"/>
      <c r="C28" s="6">
        <f>C27</f>
        <v>4</v>
      </c>
      <c r="D28" s="6">
        <f>D27+2</f>
        <v>4</v>
      </c>
      <c r="E28" s="16">
        <f t="shared" si="0"/>
        <v>3.1575031388508474</v>
      </c>
      <c r="F28" s="16">
        <f t="shared" si="0"/>
        <v>3.1575031388508474</v>
      </c>
      <c r="G28" s="22">
        <f t="shared" si="1"/>
        <v>590.05001255540344</v>
      </c>
      <c r="H28" s="149">
        <f t="shared" si="12"/>
        <v>6.8501895731905877</v>
      </c>
      <c r="I28" s="5">
        <f t="shared" si="2"/>
        <v>0.25755171445184255</v>
      </c>
      <c r="J28" s="5">
        <f t="shared" si="13"/>
        <v>0.25755171445184255</v>
      </c>
      <c r="K28" s="16">
        <f t="shared" si="3"/>
        <v>0.26403842909725062</v>
      </c>
      <c r="L28" s="16">
        <f>(((D28-$K$10+$K$8)^2-K$8^2)*K$4/2+((D28+$K$8)^2-(D28-$K$10+$K$8)^2)*$K$5/2+(D28+$K$8)*K$6+(D28-$K$10+$K$8)*K$7)*(H28*2*PI()/60)^2</f>
        <v>0.26403842909725062</v>
      </c>
      <c r="M28" s="5">
        <f t="shared" si="4"/>
        <v>1.3531537415570098</v>
      </c>
      <c r="N28" s="279">
        <f t="shared" si="5"/>
        <v>0.11416982621984313</v>
      </c>
      <c r="O28" s="280">
        <f t="shared" si="6"/>
        <v>0.22759608269035977</v>
      </c>
      <c r="P28" s="280">
        <f t="shared" si="7"/>
        <v>0.22759608269035977</v>
      </c>
      <c r="R28" s="273">
        <f>(D28-D27)/C$17</f>
        <v>303.03030303030306</v>
      </c>
      <c r="S28" s="277">
        <f>SUM(R$23:R28)/60</f>
        <v>20.202020202020204</v>
      </c>
      <c r="U28" s="299">
        <f t="shared" si="8"/>
        <v>4.9048768097536195</v>
      </c>
      <c r="V28" s="299">
        <f t="shared" si="9"/>
        <v>4.9048768097536195</v>
      </c>
      <c r="W28" s="349">
        <f t="shared" si="10"/>
        <v>84.21052631578948</v>
      </c>
      <c r="X28" s="349">
        <f t="shared" si="11"/>
        <v>84.21052631578948</v>
      </c>
      <c r="AE28" s="2"/>
      <c r="AF28" s="5"/>
      <c r="AG28" s="5"/>
      <c r="AH28" s="11"/>
      <c r="AI28" s="5"/>
      <c r="AJ28" s="5"/>
      <c r="AK28" s="5"/>
      <c r="AL28" s="5"/>
      <c r="AM28" s="5"/>
      <c r="AN28" s="5"/>
      <c r="AO28" s="5"/>
    </row>
    <row r="29" spans="1:41">
      <c r="A29" s="13" t="s">
        <v>49</v>
      </c>
      <c r="B29" s="13"/>
      <c r="C29" s="6">
        <f>C28+3</f>
        <v>7</v>
      </c>
      <c r="D29" s="6">
        <f>D28</f>
        <v>4</v>
      </c>
      <c r="E29" s="16">
        <f t="shared" si="0"/>
        <v>8.5843818132410998</v>
      </c>
      <c r="F29" s="16">
        <f t="shared" si="0"/>
        <v>3.1575031388508474</v>
      </c>
      <c r="G29" s="22">
        <f t="shared" si="1"/>
        <v>600.90376990418395</v>
      </c>
      <c r="H29" s="149">
        <f t="shared" si="12"/>
        <v>6.7264587877564868</v>
      </c>
      <c r="I29" s="5">
        <f t="shared" si="2"/>
        <v>0.40022041487669402</v>
      </c>
      <c r="J29" s="5">
        <f t="shared" si="13"/>
        <v>0.24833174241204312</v>
      </c>
      <c r="K29" s="16">
        <f t="shared" si="3"/>
        <v>0.4655177622375769</v>
      </c>
      <c r="L29" s="16">
        <f>(((D29-$K$10+$K$8)^2-K$8^2)*K$4/2+((D29+$K$8)^2-(D29-$K$10+$K$8)^2)*$K$5/2+(D29+$K$8)*K$6+(D29-$K$10+$K$8)*K$7)*(H29*2*PI()/60)^2</f>
        <v>0.25458624222716703</v>
      </c>
      <c r="M29" s="5">
        <f t="shared" si="4"/>
        <v>1.3780350058234061</v>
      </c>
      <c r="N29" s="279">
        <f t="shared" si="5"/>
        <v>0.11210764646260811</v>
      </c>
      <c r="O29" s="280">
        <f t="shared" si="6"/>
        <v>0.39829314470812949</v>
      </c>
      <c r="P29" s="280">
        <f t="shared" si="7"/>
        <v>0.22759608269035975</v>
      </c>
      <c r="R29" s="273">
        <f>(C29-C28)/C$17</f>
        <v>454.54545454545456</v>
      </c>
      <c r="S29" s="277">
        <f>SUM(R$23:R29)/60</f>
        <v>27.777777777777779</v>
      </c>
      <c r="U29" s="299">
        <f t="shared" si="8"/>
        <v>7.9048768097536195</v>
      </c>
      <c r="V29" s="299">
        <f t="shared" si="9"/>
        <v>4.9048768097536195</v>
      </c>
      <c r="W29" s="349">
        <f t="shared" si="10"/>
        <v>147.36842105263159</v>
      </c>
      <c r="X29" s="349">
        <f t="shared" si="11"/>
        <v>84.21052631578948</v>
      </c>
      <c r="AE29" s="2"/>
      <c r="AF29" s="5"/>
      <c r="AG29" s="5"/>
      <c r="AH29" s="11"/>
      <c r="AI29" s="5"/>
      <c r="AJ29" s="5"/>
      <c r="AK29" s="5"/>
      <c r="AL29" s="5"/>
      <c r="AM29" s="5"/>
      <c r="AN29" s="5"/>
      <c r="AO29" s="5"/>
    </row>
    <row r="30" spans="1:41" ht="13.5" thickBot="1">
      <c r="A30" s="13" t="s">
        <v>50</v>
      </c>
      <c r="B30" s="13"/>
      <c r="C30" s="6">
        <f>C29</f>
        <v>7</v>
      </c>
      <c r="D30" s="6">
        <f>D29+3</f>
        <v>7</v>
      </c>
      <c r="E30" s="16">
        <f t="shared" si="0"/>
        <v>8.5843818132410998</v>
      </c>
      <c r="F30" s="16">
        <f t="shared" si="0"/>
        <v>8.5843818132410998</v>
      </c>
      <c r="G30" s="22">
        <f t="shared" si="1"/>
        <v>611.75752725296445</v>
      </c>
      <c r="H30" s="149">
        <f t="shared" si="12"/>
        <v>6.6071184474312705</v>
      </c>
      <c r="I30" s="5">
        <f t="shared" si="2"/>
        <v>0.38614503193142863</v>
      </c>
      <c r="J30" s="5">
        <f t="shared" si="13"/>
        <v>0.38614503193142863</v>
      </c>
      <c r="K30" s="16">
        <f t="shared" si="3"/>
        <v>0.44914593179675433</v>
      </c>
      <c r="L30" s="16">
        <f>(((D30-$K$10+$K$8)^2-K$8^2)*K$4/2+((D30+$K$8)^2-(D30-$K$10+$K$8)^2)*$K$5/2+(D30+$K$8)*K$6+(D30-$K$10+$K$8)*K$7)*(H30*2*PI()/60)^2</f>
        <v>0.44914593179675433</v>
      </c>
      <c r="M30" s="5">
        <f t="shared" si="4"/>
        <v>1.4029157502559955</v>
      </c>
      <c r="N30" s="272">
        <f t="shared" si="5"/>
        <v>0.11011864079052118</v>
      </c>
      <c r="O30" s="16">
        <f t="shared" si="6"/>
        <v>0.39829314470812954</v>
      </c>
      <c r="P30" s="16">
        <f t="shared" si="7"/>
        <v>0.39829314470812954</v>
      </c>
      <c r="R30" s="273">
        <f>(D30-D29)/C$17</f>
        <v>454.54545454545456</v>
      </c>
      <c r="S30" s="277">
        <f>SUM(R$23:R30)/60</f>
        <v>35.353535353535356</v>
      </c>
      <c r="U30" s="299">
        <f t="shared" si="8"/>
        <v>7.9048768097536195</v>
      </c>
      <c r="V30" s="299">
        <f t="shared" si="9"/>
        <v>7.9048768097536195</v>
      </c>
      <c r="W30" s="349">
        <f t="shared" si="10"/>
        <v>147.36842105263159</v>
      </c>
      <c r="X30" s="349">
        <f t="shared" si="11"/>
        <v>147.36842105263159</v>
      </c>
      <c r="AE30" s="2"/>
      <c r="AF30" s="5"/>
      <c r="AG30" s="5"/>
      <c r="AH30" s="11"/>
      <c r="AI30" s="5"/>
      <c r="AJ30" s="5"/>
      <c r="AK30" s="5"/>
      <c r="AL30" s="5"/>
      <c r="AM30" s="5"/>
      <c r="AN30" s="5"/>
      <c r="AO30" s="5"/>
    </row>
    <row r="31" spans="1:41" ht="13.5" thickBot="1">
      <c r="A31" s="13" t="s">
        <v>583</v>
      </c>
      <c r="B31" s="13"/>
      <c r="C31" s="46">
        <f>C30+$K$10</f>
        <v>10</v>
      </c>
      <c r="D31" s="46">
        <f>D30+$K$10</f>
        <v>10</v>
      </c>
      <c r="E31" s="16">
        <f t="shared" ref="E31:E50" si="14">((C31+$K$8-$K$10)^3-$K$8^3)*$K$4/3+((C31+$K$8)^3-(C31+$K$8-$K$10)^3)*$K$5/3+((C31+$K$8)^2-$K$8^2)*$K$6+((C31+$K$8-$K$10)^2-$K$8^2)*$K$7</f>
        <v>13.482343094673663</v>
      </c>
      <c r="F31" s="16">
        <f t="shared" ref="F31:F47" si="15">((D31+$K$8-$K$10)^3-$K$8^3)*$K$4/3+((D31+$K$8)^3-(D31+$K$8-$K$10)^3)*$K$5/3+((D31+$K$8)^2-$K$8^2)*$K$6+((D31+$K$8-$K$10)^2-$K$8^2)*$K$7</f>
        <v>13.482343094673663</v>
      </c>
      <c r="G31" s="22">
        <f t="shared" si="1"/>
        <v>631.34937237869451</v>
      </c>
      <c r="H31" s="520">
        <v>14</v>
      </c>
      <c r="I31" s="5">
        <f t="shared" si="2"/>
        <v>2.3917071145529243</v>
      </c>
      <c r="J31" s="5">
        <f t="shared" si="13"/>
        <v>2.3917071145529243</v>
      </c>
      <c r="K31" s="16">
        <f t="shared" si="3"/>
        <v>2.996113249790886</v>
      </c>
      <c r="L31" s="16">
        <f t="shared" ref="L31:L50" si="16">(((D31-$K$10+$K$8)^2-K$8^2)*K$4/2+((D31+$K$8)^2-(D31-$K$10+$K$8)^2)*$K$5/2+(D31+$K$8)*K$6+(D31-$K$10+$K$8)*K$7)*(H31*2*PI()/60)^2</f>
        <v>2.996113249790886</v>
      </c>
      <c r="M31" s="5">
        <f t="shared" si="4"/>
        <v>0.66219075765535618</v>
      </c>
      <c r="N31" s="272">
        <f t="shared" si="5"/>
        <v>0.23333333333333334</v>
      </c>
      <c r="O31" s="16">
        <f>(180/PI())*ATAN((N31*$E$17*$H$17) / $G31 /($H31*2*PI()/60)^2)*(AB31/$K$9)</f>
        <v>0.23209785644541328</v>
      </c>
      <c r="P31" s="16">
        <f>(180/PI())*ATAN((N31*$E$17*$H$17) / $G31 /($H31*2*PI()/60)^2)*(AH31/$K$9)</f>
        <v>0.23209785644541328</v>
      </c>
      <c r="Q31" s="276">
        <f>((G31*H31-G30*H30)*2*PI()/60)/(E$17*H$17*O$16)</f>
        <v>488.31830385189812</v>
      </c>
      <c r="R31" s="276">
        <f>60/((H31+H30)/2)*Q31/2</f>
        <v>1421.7950125271443</v>
      </c>
      <c r="S31" s="277">
        <f>SUM(R$23:R31)/60</f>
        <v>59.050118895654428</v>
      </c>
      <c r="U31" s="299">
        <f t="shared" ref="U31:U50" si="17">C31+$K$8</f>
        <v>10.90487680975362</v>
      </c>
      <c r="V31" s="299">
        <f t="shared" ref="V31:V50" si="18">D31+$K$8</f>
        <v>10.90487680975362</v>
      </c>
      <c r="W31" s="349">
        <f>100*(C31-$K$10)/$W$7</f>
        <v>147.36842105263159</v>
      </c>
      <c r="X31" s="349">
        <f>100*(D31-$K$10)/$W$7</f>
        <v>147.36842105263159</v>
      </c>
      <c r="Y31" s="5">
        <f t="shared" ref="Y31:Y50" si="19">(C31-$K$10)*$K$4+$K$10*$K$5+$K$6+$K$7</f>
        <v>0.15392999999999998</v>
      </c>
      <c r="Z31" s="5">
        <f t="shared" ref="Z31:Z50" si="20">(C31-$K$10)^2*$K$4/2+(C31^2-(C31-$K$10)^2)*$K$5/2+C31*$K$6+(C31-$K$10)*$K$7</f>
        <v>1.2546550000000001</v>
      </c>
      <c r="AA31" s="16">
        <f t="shared" ref="AA31:AA50" si="21">(C31-$K$10)^3*$K$4/3+(C31^3-(C31-$K$10)^3)*$K$5/3+C31^2*$K$6+(C31-$K$10)^2*$K$7</f>
        <v>11.191723333333332</v>
      </c>
      <c r="AB31" s="11">
        <f t="shared" ref="AB31:AB50" si="22">AA31/Z31</f>
        <v>8.9201599908607001</v>
      </c>
      <c r="AC31" s="11">
        <f t="shared" ref="AC31:AC50" si="23">($K$9/AB31)*E31</f>
        <v>1.1774166922467253</v>
      </c>
      <c r="AD31" s="5"/>
      <c r="AE31" s="5">
        <f t="shared" ref="AE31:AE50" si="24">(D31-$K$10)*$K$4+$K$10*$K$5+$K$6+$K$7</f>
        <v>0.15392999999999998</v>
      </c>
      <c r="AF31" s="5">
        <f t="shared" ref="AF31:AF50" si="25">(D31-$K$10)^2*$K$4/2+(D31^2-(D31-$K$10)^2)*$K$5/2+D31*$K$6+(D31-$K$10)*$K$7</f>
        <v>1.2546550000000001</v>
      </c>
      <c r="AG31" s="22">
        <f t="shared" ref="AG31:AG50" si="26">(D31-$K$10)^3*$K$4/3+(D31^3-(D31-$K$10)^3)*$K$5/3+D31^2*$K$6+(D31-$K$10)^2*$K$7</f>
        <v>11.191723333333332</v>
      </c>
      <c r="AH31" s="11">
        <f t="shared" ref="AH31:AH50" si="27">AG31/AF31</f>
        <v>8.9201599908607001</v>
      </c>
      <c r="AI31" s="11">
        <f t="shared" ref="AI31:AI50" si="28">($K$9/AH31)*F31</f>
        <v>1.1774166922467253</v>
      </c>
      <c r="AJ31" s="16"/>
      <c r="AK31" s="5">
        <f t="shared" ref="AK31:AK50" si="29">SQRT($K$9/AB31)</f>
        <v>0.29551695753749607</v>
      </c>
      <c r="AL31" s="5">
        <f t="shared" ref="AL31:AL50" si="30">AK31*SQRT(1/(1-2*Z31^2/(($E$6+4*Y31)*AA31)))</f>
        <v>0.29558116096529902</v>
      </c>
      <c r="AM31" s="5">
        <f t="shared" ref="AM31:AM50" si="31">SQRT(($K$9/AB31)*(G31/$C$12))</f>
        <v>0.30900917335114791</v>
      </c>
      <c r="AN31" s="5">
        <f t="shared" ref="AN31:AN50" si="32">SQRT(G31/(G31-$C$12))</f>
        <v>3.4215445061188148</v>
      </c>
      <c r="AO31" s="5">
        <f t="shared" ref="AO31:AO50" si="33">($C$12+2*AC31)/($A$12+$P$12)-1</f>
        <v>0.21778407493152541</v>
      </c>
    </row>
    <row r="32" spans="1:41">
      <c r="A32" s="13" t="s">
        <v>49</v>
      </c>
      <c r="B32" s="13"/>
      <c r="C32" s="6">
        <f>C31+5</f>
        <v>15</v>
      </c>
      <c r="D32" s="6">
        <f>D31</f>
        <v>10</v>
      </c>
      <c r="E32" s="16">
        <f t="shared" si="14"/>
        <v>31.502520798117246</v>
      </c>
      <c r="F32" s="16">
        <f t="shared" si="15"/>
        <v>13.482343094673663</v>
      </c>
      <c r="G32" s="22">
        <f t="shared" si="1"/>
        <v>667.38972778558173</v>
      </c>
      <c r="H32" s="248">
        <f>G31*H31/G32</f>
        <v>13.243972517571432</v>
      </c>
      <c r="I32" s="5">
        <f t="shared" si="2"/>
        <v>3.1217492185406619</v>
      </c>
      <c r="J32" s="5">
        <f t="shared" si="13"/>
        <v>2.1403680812072818</v>
      </c>
      <c r="K32" s="16">
        <f t="shared" si="3"/>
        <v>4.2730239184481</v>
      </c>
      <c r="L32" s="16">
        <f t="shared" si="16"/>
        <v>2.6812585573352519</v>
      </c>
      <c r="M32" s="5">
        <f t="shared" si="4"/>
        <v>0.6999880228976989</v>
      </c>
      <c r="N32" s="279">
        <f t="shared" ref="N32:N47" si="34">2*O$17*H32/60</f>
        <v>0.88293150117142882</v>
      </c>
      <c r="O32" s="280">
        <f t="shared" ref="O32:O50" si="35">(180/PI())*ATAN((N32*$E$17*$H$17) / $G32 /($H32*2*PI()/60)^2)*(AB32/$K$9)</f>
        <v>1.3963047741863113</v>
      </c>
      <c r="P32" s="280">
        <f t="shared" ref="P32:P50" si="36">(180/PI())*ATAN((N32*$E$17*$H$17) / $G32 /($H32*2*PI()/60)^2)*(AH32/$K$9)</f>
        <v>0.9283908448470487</v>
      </c>
      <c r="R32" s="273">
        <f>(C32-C31)/C$17</f>
        <v>757.57575757575762</v>
      </c>
      <c r="S32" s="277">
        <f>SUM(R$23:R32)/60</f>
        <v>71.676381521917065</v>
      </c>
      <c r="U32" s="299">
        <f t="shared" si="17"/>
        <v>15.90487680975362</v>
      </c>
      <c r="V32" s="299">
        <f t="shared" si="18"/>
        <v>10.90487680975362</v>
      </c>
      <c r="W32" s="349">
        <f t="shared" ref="W32:W50" si="37">100*(C32-$K$10)/$W$7</f>
        <v>252.63157894736841</v>
      </c>
      <c r="X32" s="349">
        <f t="shared" ref="X32:X50" si="38">100*(D32-$K$10)/$W$7</f>
        <v>147.36842105263159</v>
      </c>
      <c r="Y32" s="5">
        <f t="shared" si="19"/>
        <v>0.17092999999999997</v>
      </c>
      <c r="Z32" s="5">
        <f t="shared" si="20"/>
        <v>2.066805</v>
      </c>
      <c r="AA32" s="16">
        <f t="shared" si="21"/>
        <v>27.728189999999998</v>
      </c>
      <c r="AB32" s="11">
        <f t="shared" si="22"/>
        <v>13.415968124714231</v>
      </c>
      <c r="AC32" s="11">
        <f t="shared" si="23"/>
        <v>1.8291981222380895</v>
      </c>
      <c r="AD32" s="5"/>
      <c r="AE32" s="5">
        <f t="shared" si="24"/>
        <v>0.15392999999999998</v>
      </c>
      <c r="AF32" s="5">
        <f t="shared" si="25"/>
        <v>1.2546550000000001</v>
      </c>
      <c r="AG32" s="22">
        <f t="shared" si="26"/>
        <v>11.191723333333332</v>
      </c>
      <c r="AH32" s="11">
        <f t="shared" si="27"/>
        <v>8.9201599908607001</v>
      </c>
      <c r="AI32" s="11">
        <f t="shared" si="28"/>
        <v>1.1774166922467253</v>
      </c>
      <c r="AJ32" s="16"/>
      <c r="AK32" s="5">
        <f t="shared" si="29"/>
        <v>0.24096708276516607</v>
      </c>
      <c r="AL32" s="5">
        <f t="shared" si="30"/>
        <v>0.24102441874095876</v>
      </c>
      <c r="AM32" s="5">
        <f t="shared" si="31"/>
        <v>0.25906071969462091</v>
      </c>
      <c r="AN32" s="5">
        <f t="shared" si="32"/>
        <v>2.7235889010027865</v>
      </c>
      <c r="AO32" s="5">
        <f t="shared" si="33"/>
        <v>0.22052213460598957</v>
      </c>
    </row>
    <row r="33" spans="1:41">
      <c r="A33" s="13" t="s">
        <v>50</v>
      </c>
      <c r="B33" s="13"/>
      <c r="C33" s="6">
        <f>C32</f>
        <v>15</v>
      </c>
      <c r="D33" s="6">
        <f>D32+5</f>
        <v>15</v>
      </c>
      <c r="E33" s="16">
        <f t="shared" si="14"/>
        <v>31.502520798117246</v>
      </c>
      <c r="F33" s="16">
        <f t="shared" si="15"/>
        <v>31.502520798117246</v>
      </c>
      <c r="G33" s="22">
        <f t="shared" si="1"/>
        <v>703.43008319246894</v>
      </c>
      <c r="H33" s="248">
        <f>G32*H32/G33</f>
        <v>12.565415418668229</v>
      </c>
      <c r="I33" s="5">
        <f t="shared" si="2"/>
        <v>2.8100572773461234</v>
      </c>
      <c r="J33" s="5">
        <f t="shared" si="13"/>
        <v>2.8100572773461234</v>
      </c>
      <c r="K33" s="16">
        <f t="shared" si="3"/>
        <v>3.8463826264437428</v>
      </c>
      <c r="L33" s="16">
        <f t="shared" si="16"/>
        <v>3.8463826264437428</v>
      </c>
      <c r="M33" s="5">
        <f t="shared" si="4"/>
        <v>0.73778467886885379</v>
      </c>
      <c r="N33" s="279">
        <f t="shared" si="34"/>
        <v>0.83769436124454855</v>
      </c>
      <c r="O33" s="280">
        <f t="shared" si="35"/>
        <v>1.396304774186311</v>
      </c>
      <c r="P33" s="280">
        <f t="shared" si="36"/>
        <v>1.396304774186311</v>
      </c>
      <c r="R33" s="273">
        <f>(D33-D32)/C$17</f>
        <v>757.57575757575762</v>
      </c>
      <c r="S33" s="277">
        <f>SUM(R$23:R33)/60</f>
        <v>84.302644148179695</v>
      </c>
      <c r="U33" s="299">
        <f t="shared" si="17"/>
        <v>15.90487680975362</v>
      </c>
      <c r="V33" s="299">
        <f t="shared" si="18"/>
        <v>15.90487680975362</v>
      </c>
      <c r="W33" s="349">
        <f t="shared" si="37"/>
        <v>252.63157894736841</v>
      </c>
      <c r="X33" s="349">
        <f t="shared" si="38"/>
        <v>252.63157894736841</v>
      </c>
      <c r="Y33" s="5">
        <f t="shared" si="19"/>
        <v>0.17092999999999997</v>
      </c>
      <c r="Z33" s="5">
        <f t="shared" si="20"/>
        <v>2.066805</v>
      </c>
      <c r="AA33" s="16">
        <f t="shared" si="21"/>
        <v>27.728189999999998</v>
      </c>
      <c r="AB33" s="11">
        <f t="shared" si="22"/>
        <v>13.415968124714231</v>
      </c>
      <c r="AC33" s="11">
        <f t="shared" si="23"/>
        <v>1.8291981222380895</v>
      </c>
      <c r="AD33" s="5"/>
      <c r="AE33" s="5">
        <f t="shared" si="24"/>
        <v>0.17092999999999997</v>
      </c>
      <c r="AF33" s="5">
        <f t="shared" si="25"/>
        <v>2.066805</v>
      </c>
      <c r="AG33" s="22">
        <f t="shared" si="26"/>
        <v>27.728189999999998</v>
      </c>
      <c r="AH33" s="11">
        <f t="shared" si="27"/>
        <v>13.415968124714231</v>
      </c>
      <c r="AI33" s="11">
        <f t="shared" si="28"/>
        <v>1.8291981222380895</v>
      </c>
      <c r="AJ33" s="16"/>
      <c r="AK33" s="5">
        <f t="shared" si="29"/>
        <v>0.24096708276516607</v>
      </c>
      <c r="AL33" s="5">
        <f t="shared" si="30"/>
        <v>0.24102441874095876</v>
      </c>
      <c r="AM33" s="5">
        <f t="shared" si="31"/>
        <v>0.26596364579184689</v>
      </c>
      <c r="AN33" s="5">
        <f t="shared" si="32"/>
        <v>2.3626958564442475</v>
      </c>
      <c r="AO33" s="5">
        <f t="shared" si="33"/>
        <v>0.22052213460598957</v>
      </c>
    </row>
    <row r="34" spans="1:41">
      <c r="A34" s="13" t="s">
        <v>49</v>
      </c>
      <c r="B34" s="13"/>
      <c r="C34" s="6">
        <f>C33+5</f>
        <v>20</v>
      </c>
      <c r="D34" s="6">
        <f>D33</f>
        <v>15</v>
      </c>
      <c r="E34" s="16">
        <f t="shared" si="14"/>
        <v>58.223027559218941</v>
      </c>
      <c r="F34" s="16">
        <f t="shared" si="15"/>
        <v>31.502520798117246</v>
      </c>
      <c r="G34" s="22">
        <f t="shared" si="1"/>
        <v>756.87109671467238</v>
      </c>
      <c r="H34" s="248">
        <f>G33*H33/G34</f>
        <v>11.678198905557938</v>
      </c>
      <c r="I34" s="5">
        <f>(H34*2*PI()/60)^2*(C34+$K$8)/9.8</f>
        <v>3.1902925436497869</v>
      </c>
      <c r="J34" s="5">
        <f t="shared" si="13"/>
        <v>2.4272427125784821</v>
      </c>
      <c r="K34" s="16">
        <f t="shared" si="3"/>
        <v>4.6871531250325758</v>
      </c>
      <c r="L34" s="16">
        <f t="shared" si="16"/>
        <v>3.3223892890330222</v>
      </c>
      <c r="M34" s="5">
        <f t="shared" si="4"/>
        <v>0.79382876132622715</v>
      </c>
      <c r="N34" s="279">
        <f t="shared" si="34"/>
        <v>0.77854659370386259</v>
      </c>
      <c r="O34" s="280">
        <f t="shared" si="35"/>
        <v>1.8544378332762426</v>
      </c>
      <c r="P34" s="280">
        <f t="shared" si="36"/>
        <v>1.3963047741863119</v>
      </c>
      <c r="R34" s="273">
        <f>(C34-C33)/C$17</f>
        <v>757.57575757575762</v>
      </c>
      <c r="S34" s="277">
        <f>SUM(R$23:R34)/60</f>
        <v>96.928906774442325</v>
      </c>
      <c r="U34" s="299">
        <f t="shared" si="17"/>
        <v>20.90487680975362</v>
      </c>
      <c r="V34" s="299">
        <f t="shared" si="18"/>
        <v>15.90487680975362</v>
      </c>
      <c r="W34" s="349">
        <f t="shared" si="37"/>
        <v>357.89473684210526</v>
      </c>
      <c r="X34" s="349">
        <f t="shared" si="38"/>
        <v>252.63157894736841</v>
      </c>
      <c r="Y34" s="5">
        <f t="shared" si="19"/>
        <v>0.18792999999999999</v>
      </c>
      <c r="Z34" s="5">
        <f t="shared" si="20"/>
        <v>2.9639549999999999</v>
      </c>
      <c r="AA34" s="16">
        <f t="shared" si="21"/>
        <v>52.811156666666662</v>
      </c>
      <c r="AB34" s="11">
        <f t="shared" si="22"/>
        <v>17.817799752920223</v>
      </c>
      <c r="AC34" s="11">
        <f t="shared" si="23"/>
        <v>2.5455297005006492</v>
      </c>
      <c r="AD34" s="5"/>
      <c r="AE34" s="5">
        <f t="shared" si="24"/>
        <v>0.17092999999999997</v>
      </c>
      <c r="AF34" s="5">
        <f t="shared" si="25"/>
        <v>2.066805</v>
      </c>
      <c r="AG34" s="22">
        <f t="shared" si="26"/>
        <v>27.728189999999998</v>
      </c>
      <c r="AH34" s="11">
        <f t="shared" si="27"/>
        <v>13.415968124714231</v>
      </c>
      <c r="AI34" s="11">
        <f t="shared" si="28"/>
        <v>1.8291981222380895</v>
      </c>
      <c r="AJ34" s="16"/>
      <c r="AK34" s="5">
        <f t="shared" si="29"/>
        <v>0.20909405832177924</v>
      </c>
      <c r="AL34" s="5">
        <f t="shared" si="30"/>
        <v>0.20914777609284996</v>
      </c>
      <c r="AM34" s="5">
        <f t="shared" si="31"/>
        <v>0.23939040592203417</v>
      </c>
      <c r="AN34" s="5">
        <f t="shared" si="32"/>
        <v>2.0537042504968901</v>
      </c>
      <c r="AO34" s="5">
        <f t="shared" si="33"/>
        <v>0.22353136211345603</v>
      </c>
    </row>
    <row r="35" spans="1:41" ht="13.5" thickBot="1">
      <c r="A35" s="13" t="s">
        <v>50</v>
      </c>
      <c r="B35" s="13"/>
      <c r="C35" s="6">
        <f>C34</f>
        <v>20</v>
      </c>
      <c r="D35" s="6">
        <f>D34+5</f>
        <v>20</v>
      </c>
      <c r="E35" s="16">
        <f t="shared" si="14"/>
        <v>58.223027559218941</v>
      </c>
      <c r="F35" s="16">
        <f t="shared" si="15"/>
        <v>58.223027559218941</v>
      </c>
      <c r="G35" s="22">
        <f t="shared" si="1"/>
        <v>810.31211023687581</v>
      </c>
      <c r="H35" s="248">
        <f>G34*H34/G35</f>
        <v>10.908008286730258</v>
      </c>
      <c r="I35" s="5">
        <f t="shared" si="2"/>
        <v>2.7833619845185367</v>
      </c>
      <c r="J35" s="5">
        <f t="shared" si="13"/>
        <v>2.7833619845185367</v>
      </c>
      <c r="K35" s="16">
        <f t="shared" si="3"/>
        <v>4.089293895571056</v>
      </c>
      <c r="L35" s="16">
        <f t="shared" si="16"/>
        <v>4.089293895571056</v>
      </c>
      <c r="M35" s="5">
        <f t="shared" si="4"/>
        <v>0.84987132468148952</v>
      </c>
      <c r="N35" s="272">
        <f t="shared" si="34"/>
        <v>0.72720055244868387</v>
      </c>
      <c r="O35" s="16">
        <f t="shared" si="35"/>
        <v>1.8544378332762417</v>
      </c>
      <c r="P35" s="16">
        <f t="shared" si="36"/>
        <v>1.8544378332762417</v>
      </c>
      <c r="R35" s="273">
        <f>(D35-D34)/C$17</f>
        <v>757.57575757575762</v>
      </c>
      <c r="S35" s="277">
        <f>SUM(R$23:R35)/60</f>
        <v>109.55516940070495</v>
      </c>
      <c r="U35" s="299">
        <f t="shared" si="17"/>
        <v>20.90487680975362</v>
      </c>
      <c r="V35" s="299">
        <f t="shared" si="18"/>
        <v>20.90487680975362</v>
      </c>
      <c r="W35" s="349">
        <f t="shared" si="37"/>
        <v>357.89473684210526</v>
      </c>
      <c r="X35" s="349">
        <f t="shared" si="38"/>
        <v>357.89473684210526</v>
      </c>
      <c r="Y35" s="5">
        <f t="shared" si="19"/>
        <v>0.18792999999999999</v>
      </c>
      <c r="Z35" s="5">
        <f t="shared" si="20"/>
        <v>2.9639549999999999</v>
      </c>
      <c r="AA35" s="16">
        <f t="shared" si="21"/>
        <v>52.811156666666662</v>
      </c>
      <c r="AB35" s="11">
        <f t="shared" si="22"/>
        <v>17.817799752920223</v>
      </c>
      <c r="AC35" s="11">
        <f t="shared" si="23"/>
        <v>2.5455297005006492</v>
      </c>
      <c r="AD35" s="5"/>
      <c r="AE35" s="5">
        <f t="shared" si="24"/>
        <v>0.18792999999999999</v>
      </c>
      <c r="AF35" s="5">
        <f t="shared" si="25"/>
        <v>2.9639549999999999</v>
      </c>
      <c r="AG35" s="22">
        <f t="shared" si="26"/>
        <v>52.811156666666662</v>
      </c>
      <c r="AH35" s="11">
        <f t="shared" si="27"/>
        <v>17.817799752920223</v>
      </c>
      <c r="AI35" s="11">
        <f t="shared" si="28"/>
        <v>2.5455297005006492</v>
      </c>
      <c r="AJ35" s="16"/>
      <c r="AK35" s="5">
        <f t="shared" si="29"/>
        <v>0.20909405832177924</v>
      </c>
      <c r="AL35" s="5">
        <f t="shared" si="30"/>
        <v>0.20914777609284996</v>
      </c>
      <c r="AM35" s="5">
        <f t="shared" si="31"/>
        <v>0.24769768378869347</v>
      </c>
      <c r="AN35" s="5">
        <f t="shared" si="32"/>
        <v>1.8653003716233811</v>
      </c>
      <c r="AO35" s="5">
        <f t="shared" si="33"/>
        <v>0.22353136211345603</v>
      </c>
    </row>
    <row r="36" spans="1:41" ht="13.5" thickBot="1">
      <c r="A36" s="533" t="s">
        <v>560</v>
      </c>
      <c r="B36" s="534"/>
      <c r="C36" s="6">
        <f>C35</f>
        <v>20</v>
      </c>
      <c r="D36" s="6">
        <f>D35</f>
        <v>20</v>
      </c>
      <c r="E36" s="16">
        <f t="shared" si="14"/>
        <v>58.223027559218941</v>
      </c>
      <c r="F36" s="16">
        <f t="shared" si="15"/>
        <v>58.223027559218941</v>
      </c>
      <c r="G36" s="22">
        <f t="shared" si="1"/>
        <v>810.31211023687581</v>
      </c>
      <c r="H36" s="520">
        <f>H35</f>
        <v>10.908008286730258</v>
      </c>
      <c r="I36" s="5">
        <f t="shared" si="2"/>
        <v>2.7833619845185367</v>
      </c>
      <c r="J36" s="5">
        <f t="shared" si="13"/>
        <v>2.7833619845185367</v>
      </c>
      <c r="K36" s="16">
        <f t="shared" si="3"/>
        <v>4.089293895571056</v>
      </c>
      <c r="L36" s="16">
        <f t="shared" si="16"/>
        <v>4.089293895571056</v>
      </c>
      <c r="M36" s="5">
        <f t="shared" si="4"/>
        <v>0.84987132468148952</v>
      </c>
      <c r="N36" s="272">
        <f t="shared" si="34"/>
        <v>0.72720055244868387</v>
      </c>
      <c r="O36" s="16">
        <f t="shared" si="35"/>
        <v>1.8544378332762417</v>
      </c>
      <c r="P36" s="16">
        <f t="shared" si="36"/>
        <v>1.8544378332762417</v>
      </c>
      <c r="Q36" s="276">
        <f>((G36*H36-G35*H35)*2*PI()/60)/(E$17*H$17*O$17)</f>
        <v>0</v>
      </c>
      <c r="R36" s="276">
        <f>LN(H36/H35)/((E$17*H$17/G36)*(2*O$17/2/PI()))</f>
        <v>0</v>
      </c>
      <c r="S36" s="277">
        <f>SUM(R$23:R36)/60</f>
        <v>109.55516940070495</v>
      </c>
      <c r="U36" s="299">
        <f t="shared" si="17"/>
        <v>20.90487680975362</v>
      </c>
      <c r="V36" s="299">
        <f t="shared" si="18"/>
        <v>20.90487680975362</v>
      </c>
      <c r="W36" s="349">
        <f t="shared" si="37"/>
        <v>357.89473684210526</v>
      </c>
      <c r="X36" s="349">
        <f t="shared" si="38"/>
        <v>357.89473684210526</v>
      </c>
      <c r="Y36" s="5">
        <f t="shared" si="19"/>
        <v>0.18792999999999999</v>
      </c>
      <c r="Z36" s="5">
        <f t="shared" si="20"/>
        <v>2.9639549999999999</v>
      </c>
      <c r="AA36" s="16">
        <f t="shared" si="21"/>
        <v>52.811156666666662</v>
      </c>
      <c r="AB36" s="11">
        <f t="shared" si="22"/>
        <v>17.817799752920223</v>
      </c>
      <c r="AC36" s="11">
        <f t="shared" si="23"/>
        <v>2.5455297005006492</v>
      </c>
      <c r="AD36" s="5"/>
      <c r="AE36" s="5">
        <f t="shared" si="24"/>
        <v>0.18792999999999999</v>
      </c>
      <c r="AF36" s="5">
        <f t="shared" si="25"/>
        <v>2.9639549999999999</v>
      </c>
      <c r="AG36" s="22">
        <f t="shared" si="26"/>
        <v>52.811156666666662</v>
      </c>
      <c r="AH36" s="11">
        <f t="shared" si="27"/>
        <v>17.817799752920223</v>
      </c>
      <c r="AI36" s="11">
        <f t="shared" si="28"/>
        <v>2.5455297005006492</v>
      </c>
      <c r="AJ36" s="16"/>
      <c r="AK36" s="5">
        <f t="shared" si="29"/>
        <v>0.20909405832177924</v>
      </c>
      <c r="AL36" s="5">
        <f t="shared" si="30"/>
        <v>0.20914777609284996</v>
      </c>
      <c r="AM36" s="5">
        <f t="shared" si="31"/>
        <v>0.24769768378869347</v>
      </c>
      <c r="AN36" s="5">
        <f t="shared" si="32"/>
        <v>1.8653003716233811</v>
      </c>
      <c r="AO36" s="5">
        <f t="shared" si="33"/>
        <v>0.22353136211345603</v>
      </c>
    </row>
    <row r="37" spans="1:41">
      <c r="A37" s="13" t="s">
        <v>49</v>
      </c>
      <c r="B37" s="13"/>
      <c r="C37" s="6">
        <f>C36+5</f>
        <v>25</v>
      </c>
      <c r="D37" s="6">
        <f>D36</f>
        <v>20</v>
      </c>
      <c r="E37" s="16">
        <f t="shared" si="14"/>
        <v>94.493863377978755</v>
      </c>
      <c r="F37" s="16">
        <f t="shared" si="15"/>
        <v>58.223027559218941</v>
      </c>
      <c r="G37" s="22">
        <f t="shared" si="1"/>
        <v>882.85378187439539</v>
      </c>
      <c r="H37" s="248">
        <f>G36*H36/G37</f>
        <v>10.011727190583914</v>
      </c>
      <c r="I37" s="5">
        <f t="shared" si="2"/>
        <v>2.9055657372958792</v>
      </c>
      <c r="J37" s="5">
        <f t="shared" si="13"/>
        <v>2.3447513086779659</v>
      </c>
      <c r="K37" s="16">
        <f t="shared" si="3"/>
        <v>4.5413749430037873</v>
      </c>
      <c r="L37" s="16">
        <f t="shared" si="16"/>
        <v>3.4448904837175327</v>
      </c>
      <c r="M37" s="5">
        <f t="shared" si="4"/>
        <v>0.92594175849423477</v>
      </c>
      <c r="N37" s="279">
        <f t="shared" si="34"/>
        <v>0.66744847937226093</v>
      </c>
      <c r="O37" s="280">
        <f t="shared" si="35"/>
        <v>2.3022748163318676</v>
      </c>
      <c r="P37" s="280">
        <f t="shared" si="36"/>
        <v>1.8544378332762419</v>
      </c>
      <c r="R37" s="273">
        <f>(C37-C36)/C$17</f>
        <v>757.57575757575762</v>
      </c>
      <c r="S37" s="277">
        <f>SUM(R$23:R37)/60</f>
        <v>122.18143202696758</v>
      </c>
      <c r="U37" s="299">
        <f t="shared" si="17"/>
        <v>25.90487680975362</v>
      </c>
      <c r="V37" s="299">
        <f t="shared" si="18"/>
        <v>20.90487680975362</v>
      </c>
      <c r="W37" s="349">
        <f t="shared" si="37"/>
        <v>463.15789473684208</v>
      </c>
      <c r="X37" s="349">
        <f t="shared" si="38"/>
        <v>357.89473684210526</v>
      </c>
      <c r="Y37" s="5">
        <f t="shared" si="19"/>
        <v>0.20493</v>
      </c>
      <c r="Z37" s="5">
        <f t="shared" si="20"/>
        <v>3.9461049999999993</v>
      </c>
      <c r="AA37" s="16">
        <f t="shared" si="21"/>
        <v>87.290623333333329</v>
      </c>
      <c r="AB37" s="11">
        <f t="shared" si="22"/>
        <v>22.120704677988382</v>
      </c>
      <c r="AC37" s="11">
        <f t="shared" si="23"/>
        <v>3.3276842054988043</v>
      </c>
      <c r="AD37" s="5"/>
      <c r="AE37" s="5">
        <f t="shared" si="24"/>
        <v>0.18792999999999999</v>
      </c>
      <c r="AF37" s="5">
        <f t="shared" si="25"/>
        <v>2.9639549999999999</v>
      </c>
      <c r="AG37" s="22">
        <f t="shared" si="26"/>
        <v>52.811156666666662</v>
      </c>
      <c r="AH37" s="11">
        <f t="shared" si="27"/>
        <v>17.817799752920223</v>
      </c>
      <c r="AI37" s="11">
        <f t="shared" si="28"/>
        <v>2.5455297005006492</v>
      </c>
      <c r="AJ37" s="16"/>
      <c r="AK37" s="5">
        <f t="shared" si="29"/>
        <v>0.18765893615194992</v>
      </c>
      <c r="AL37" s="5">
        <f t="shared" si="30"/>
        <v>0.18771063301577023</v>
      </c>
      <c r="AM37" s="5">
        <f t="shared" si="31"/>
        <v>0.232042603532157</v>
      </c>
      <c r="AN37" s="5">
        <f t="shared" si="32"/>
        <v>1.700144583059777</v>
      </c>
      <c r="AO37" s="5">
        <f t="shared" si="33"/>
        <v>0.22681710425152857</v>
      </c>
    </row>
    <row r="38" spans="1:41">
      <c r="A38" s="13" t="s">
        <v>50</v>
      </c>
      <c r="B38" s="13"/>
      <c r="C38" s="6">
        <f>C37</f>
        <v>25</v>
      </c>
      <c r="D38" s="6">
        <f>D37+5</f>
        <v>25</v>
      </c>
      <c r="E38" s="16">
        <f t="shared" si="14"/>
        <v>94.493863377978755</v>
      </c>
      <c r="F38" s="16">
        <f t="shared" si="15"/>
        <v>94.493863377978755</v>
      </c>
      <c r="G38" s="22">
        <f t="shared" si="1"/>
        <v>955.39545351191498</v>
      </c>
      <c r="H38" s="248">
        <f>G37*H37/G38</f>
        <v>9.2515525176627733</v>
      </c>
      <c r="I38" s="5">
        <f t="shared" si="2"/>
        <v>2.4810866309812187</v>
      </c>
      <c r="J38" s="5">
        <f t="shared" si="13"/>
        <v>2.4810866309812187</v>
      </c>
      <c r="K38" s="16">
        <f t="shared" si="3"/>
        <v>3.8779176505041497</v>
      </c>
      <c r="L38" s="16">
        <f t="shared" si="16"/>
        <v>3.8779176505041497</v>
      </c>
      <c r="M38" s="5">
        <f t="shared" si="4"/>
        <v>1.0020089277887017</v>
      </c>
      <c r="N38" s="279">
        <f t="shared" si="34"/>
        <v>0.61677016784418492</v>
      </c>
      <c r="O38" s="280">
        <f t="shared" si="35"/>
        <v>2.3022748163318667</v>
      </c>
      <c r="P38" s="280">
        <f t="shared" si="36"/>
        <v>2.3022748163318667</v>
      </c>
      <c r="R38" s="273">
        <f>(D38-D37)/C$17</f>
        <v>757.57575757575762</v>
      </c>
      <c r="S38" s="277">
        <f>SUM(R$23:R38)/60</f>
        <v>134.80769465323021</v>
      </c>
      <c r="U38" s="299">
        <f t="shared" si="17"/>
        <v>25.90487680975362</v>
      </c>
      <c r="V38" s="299">
        <f t="shared" si="18"/>
        <v>25.90487680975362</v>
      </c>
      <c r="W38" s="349">
        <f t="shared" si="37"/>
        <v>463.15789473684208</v>
      </c>
      <c r="X38" s="349">
        <f t="shared" si="38"/>
        <v>463.15789473684208</v>
      </c>
      <c r="Y38" s="5">
        <f t="shared" si="19"/>
        <v>0.20493</v>
      </c>
      <c r="Z38" s="5">
        <f t="shared" si="20"/>
        <v>3.9461049999999993</v>
      </c>
      <c r="AA38" s="16">
        <f t="shared" si="21"/>
        <v>87.290623333333329</v>
      </c>
      <c r="AB38" s="11">
        <f t="shared" si="22"/>
        <v>22.120704677988382</v>
      </c>
      <c r="AC38" s="11">
        <f t="shared" si="23"/>
        <v>3.3276842054988043</v>
      </c>
      <c r="AD38" s="5"/>
      <c r="AE38" s="5">
        <f t="shared" si="24"/>
        <v>0.20493</v>
      </c>
      <c r="AF38" s="5">
        <f t="shared" si="25"/>
        <v>3.9461049999999993</v>
      </c>
      <c r="AG38" s="22">
        <f t="shared" si="26"/>
        <v>87.290623333333329</v>
      </c>
      <c r="AH38" s="11">
        <f t="shared" si="27"/>
        <v>22.120704677988382</v>
      </c>
      <c r="AI38" s="11">
        <f t="shared" si="28"/>
        <v>3.3276842054988043</v>
      </c>
      <c r="AJ38" s="16"/>
      <c r="AK38" s="5">
        <f t="shared" si="29"/>
        <v>0.18765893615194992</v>
      </c>
      <c r="AL38" s="5">
        <f t="shared" si="30"/>
        <v>0.18771063301577023</v>
      </c>
      <c r="AM38" s="5">
        <f t="shared" si="31"/>
        <v>0.24138758172371638</v>
      </c>
      <c r="AN38" s="5">
        <f t="shared" si="32"/>
        <v>1.5898633088386032</v>
      </c>
      <c r="AO38" s="5">
        <f t="shared" si="33"/>
        <v>0.22681710425152857</v>
      </c>
    </row>
    <row r="39" spans="1:41">
      <c r="A39" s="13" t="s">
        <v>49</v>
      </c>
      <c r="B39" s="13"/>
      <c r="C39" s="6">
        <f>C38+5</f>
        <v>30</v>
      </c>
      <c r="D39" s="6">
        <f>D38</f>
        <v>25</v>
      </c>
      <c r="E39" s="16">
        <f t="shared" si="14"/>
        <v>141.16502825439667</v>
      </c>
      <c r="F39" s="16">
        <f t="shared" si="15"/>
        <v>94.493863377978755</v>
      </c>
      <c r="G39" s="22">
        <f t="shared" si="1"/>
        <v>1048.7377832647508</v>
      </c>
      <c r="H39" s="248">
        <f>G38*H38/G39</f>
        <v>8.4281231727782355</v>
      </c>
      <c r="I39" s="5">
        <f t="shared" si="2"/>
        <v>2.4565178543273882</v>
      </c>
      <c r="J39" s="5">
        <f t="shared" si="13"/>
        <v>2.0590857808314489</v>
      </c>
      <c r="K39" s="16">
        <f t="shared" si="3"/>
        <v>4.0615911144977295</v>
      </c>
      <c r="L39" s="16">
        <f t="shared" si="16"/>
        <v>3.218333851660192</v>
      </c>
      <c r="M39" s="5">
        <f t="shared" si="4"/>
        <v>1.0998824246068832</v>
      </c>
      <c r="N39" s="279">
        <f t="shared" si="34"/>
        <v>0.56187487818521575</v>
      </c>
      <c r="O39" s="280">
        <f t="shared" si="35"/>
        <v>2.7407342071054299</v>
      </c>
      <c r="P39" s="280">
        <f t="shared" si="36"/>
        <v>2.3022748163318667</v>
      </c>
      <c r="R39" s="273">
        <f>(C39-C38)/C$17</f>
        <v>757.57575757575762</v>
      </c>
      <c r="S39" s="277">
        <f>SUM(R$23:R39)/60</f>
        <v>147.43395727949286</v>
      </c>
      <c r="U39" s="299">
        <f t="shared" si="17"/>
        <v>30.90487680975362</v>
      </c>
      <c r="V39" s="299">
        <f t="shared" si="18"/>
        <v>25.90487680975362</v>
      </c>
      <c r="W39" s="349">
        <f t="shared" si="37"/>
        <v>568.42105263157896</v>
      </c>
      <c r="X39" s="349">
        <f t="shared" si="38"/>
        <v>463.15789473684208</v>
      </c>
      <c r="Y39" s="5">
        <f t="shared" si="19"/>
        <v>0.22192999999999996</v>
      </c>
      <c r="Z39" s="5">
        <f t="shared" si="20"/>
        <v>5.0132549999999991</v>
      </c>
      <c r="AA39" s="16">
        <f t="shared" si="21"/>
        <v>132.01659000000001</v>
      </c>
      <c r="AB39" s="11">
        <f t="shared" si="22"/>
        <v>26.333507870634953</v>
      </c>
      <c r="AC39" s="11">
        <f t="shared" si="23"/>
        <v>4.1759554993735621</v>
      </c>
      <c r="AD39" s="5"/>
      <c r="AE39" s="5">
        <f t="shared" si="24"/>
        <v>0.20493</v>
      </c>
      <c r="AF39" s="5">
        <f t="shared" si="25"/>
        <v>3.9461049999999993</v>
      </c>
      <c r="AG39" s="22">
        <f t="shared" si="26"/>
        <v>87.290623333333329</v>
      </c>
      <c r="AH39" s="11">
        <f t="shared" si="27"/>
        <v>22.120704677988382</v>
      </c>
      <c r="AI39" s="11">
        <f t="shared" si="28"/>
        <v>3.3276842054988043</v>
      </c>
      <c r="AJ39" s="16"/>
      <c r="AK39" s="5">
        <f t="shared" si="29"/>
        <v>0.17199442552305602</v>
      </c>
      <c r="AL39" s="5">
        <f t="shared" si="30"/>
        <v>0.17204498670001003</v>
      </c>
      <c r="AM39" s="5">
        <f t="shared" si="31"/>
        <v>0.23179385453777335</v>
      </c>
      <c r="AN39" s="5">
        <f t="shared" si="32"/>
        <v>1.4916830133027117</v>
      </c>
      <c r="AO39" s="5">
        <f t="shared" si="33"/>
        <v>0.23038059550164691</v>
      </c>
    </row>
    <row r="40" spans="1:41" ht="13.5" thickBot="1">
      <c r="A40" s="13" t="s">
        <v>50</v>
      </c>
      <c r="B40" s="13"/>
      <c r="C40" s="6">
        <f>C39</f>
        <v>30</v>
      </c>
      <c r="D40" s="6">
        <f>D39+5</f>
        <v>30</v>
      </c>
      <c r="E40" s="16">
        <f t="shared" si="14"/>
        <v>141.16502825439667</v>
      </c>
      <c r="F40" s="16">
        <f t="shared" si="15"/>
        <v>141.16502825439667</v>
      </c>
      <c r="G40" s="22">
        <f t="shared" si="1"/>
        <v>1142.0801130175867</v>
      </c>
      <c r="H40" s="248">
        <f>G39*H39/G40</f>
        <v>7.7392917646974349</v>
      </c>
      <c r="I40" s="5">
        <f t="shared" si="2"/>
        <v>2.0713839939936793</v>
      </c>
      <c r="J40" s="5">
        <f t="shared" si="13"/>
        <v>2.0713839939936793</v>
      </c>
      <c r="K40" s="16">
        <f t="shared" si="3"/>
        <v>3.4248132208349515</v>
      </c>
      <c r="L40" s="16">
        <f t="shared" si="16"/>
        <v>3.4248132208349515</v>
      </c>
      <c r="M40" s="5">
        <f t="shared" si="4"/>
        <v>1.1977495021549989</v>
      </c>
      <c r="N40" s="272">
        <f t="shared" si="34"/>
        <v>0.51595278431316227</v>
      </c>
      <c r="O40" s="16">
        <f t="shared" si="35"/>
        <v>2.7407342071054299</v>
      </c>
      <c r="P40" s="16">
        <f t="shared" si="36"/>
        <v>2.7407342071054299</v>
      </c>
      <c r="R40" s="273">
        <f>(D40-D39)/C$17</f>
        <v>757.57575757575762</v>
      </c>
      <c r="S40" s="277">
        <f>SUM(R$23:R40)/60</f>
        <v>160.06021990575547</v>
      </c>
      <c r="U40" s="299">
        <f t="shared" si="17"/>
        <v>30.90487680975362</v>
      </c>
      <c r="V40" s="299">
        <f t="shared" si="18"/>
        <v>30.90487680975362</v>
      </c>
      <c r="W40" s="349">
        <f t="shared" si="37"/>
        <v>568.42105263157896</v>
      </c>
      <c r="X40" s="349">
        <f t="shared" si="38"/>
        <v>568.42105263157896</v>
      </c>
      <c r="Y40" s="5">
        <f t="shared" si="19"/>
        <v>0.22192999999999996</v>
      </c>
      <c r="Z40" s="5">
        <f t="shared" si="20"/>
        <v>5.0132549999999991</v>
      </c>
      <c r="AA40" s="16">
        <f t="shared" si="21"/>
        <v>132.01659000000001</v>
      </c>
      <c r="AB40" s="11">
        <f t="shared" si="22"/>
        <v>26.333507870634953</v>
      </c>
      <c r="AC40" s="11">
        <f t="shared" si="23"/>
        <v>4.1759554993735621</v>
      </c>
      <c r="AD40" s="5"/>
      <c r="AE40" s="5">
        <f t="shared" si="24"/>
        <v>0.22192999999999996</v>
      </c>
      <c r="AF40" s="5">
        <f t="shared" si="25"/>
        <v>5.0132549999999991</v>
      </c>
      <c r="AG40" s="22">
        <f t="shared" si="26"/>
        <v>132.01659000000001</v>
      </c>
      <c r="AH40" s="11">
        <f t="shared" si="27"/>
        <v>26.333507870634953</v>
      </c>
      <c r="AI40" s="11">
        <f t="shared" si="28"/>
        <v>4.1759554993735621</v>
      </c>
      <c r="AJ40" s="16"/>
      <c r="AK40" s="5">
        <f t="shared" si="29"/>
        <v>0.17199442552305602</v>
      </c>
      <c r="AL40" s="5">
        <f t="shared" si="30"/>
        <v>0.17204498670001003</v>
      </c>
      <c r="AM40" s="5">
        <f t="shared" si="31"/>
        <v>0.24188934846351301</v>
      </c>
      <c r="AN40" s="5">
        <f t="shared" si="32"/>
        <v>1.4221805316905027</v>
      </c>
      <c r="AO40" s="5">
        <f t="shared" si="33"/>
        <v>0.23038059550164691</v>
      </c>
    </row>
    <row r="41" spans="1:41" ht="13.5" thickBot="1">
      <c r="A41" s="13" t="s">
        <v>582</v>
      </c>
      <c r="B41" s="13"/>
      <c r="C41" s="6">
        <f>C40</f>
        <v>30</v>
      </c>
      <c r="D41" s="6">
        <f>D40</f>
        <v>30</v>
      </c>
      <c r="E41" s="16">
        <f t="shared" si="14"/>
        <v>141.16502825439667</v>
      </c>
      <c r="F41" s="16">
        <f t="shared" si="15"/>
        <v>141.16502825439667</v>
      </c>
      <c r="G41" s="22">
        <f t="shared" si="1"/>
        <v>1142.0801130175867</v>
      </c>
      <c r="H41" s="532">
        <v>11.06</v>
      </c>
      <c r="I41" s="5">
        <f t="shared" si="2"/>
        <v>4.2302733465124209</v>
      </c>
      <c r="J41" s="5">
        <f t="shared" si="13"/>
        <v>4.2302733465124209</v>
      </c>
      <c r="K41" s="16">
        <f t="shared" si="3"/>
        <v>6.9943072491105012</v>
      </c>
      <c r="L41" s="16">
        <f t="shared" si="16"/>
        <v>6.9943072491105012</v>
      </c>
      <c r="M41" s="5">
        <f t="shared" si="4"/>
        <v>0.83819367177728066</v>
      </c>
      <c r="N41" s="272">
        <f t="shared" si="34"/>
        <v>0.7373333333333334</v>
      </c>
      <c r="O41" s="16">
        <f t="shared" si="35"/>
        <v>1.9178434813346088</v>
      </c>
      <c r="P41" s="16">
        <f t="shared" si="36"/>
        <v>1.9178434813346088</v>
      </c>
      <c r="Q41" s="276">
        <f>((G41*H41-G40*H40)*2*PI()/60)/(E$17*H$17*O$17)</f>
        <v>96.517553874210279</v>
      </c>
      <c r="R41" s="276">
        <f>LN(H41/H40)/((E$17*H$17/G41)*(2*O$17/2/PI()))</f>
        <v>311.31155885407168</v>
      </c>
      <c r="S41" s="277">
        <f>SUM(R$23:R41)/60</f>
        <v>165.24874588665668</v>
      </c>
      <c r="U41" s="299">
        <f t="shared" si="17"/>
        <v>30.90487680975362</v>
      </c>
      <c r="V41" s="299">
        <f t="shared" si="18"/>
        <v>30.90487680975362</v>
      </c>
      <c r="W41" s="349">
        <f t="shared" si="37"/>
        <v>568.42105263157896</v>
      </c>
      <c r="X41" s="349">
        <f t="shared" si="38"/>
        <v>568.42105263157896</v>
      </c>
      <c r="Y41" s="5">
        <f t="shared" si="19"/>
        <v>0.22192999999999996</v>
      </c>
      <c r="Z41" s="5">
        <f t="shared" si="20"/>
        <v>5.0132549999999991</v>
      </c>
      <c r="AA41" s="16">
        <f t="shared" si="21"/>
        <v>132.01659000000001</v>
      </c>
      <c r="AB41" s="11">
        <f t="shared" si="22"/>
        <v>26.333507870634953</v>
      </c>
      <c r="AC41" s="11">
        <f t="shared" si="23"/>
        <v>4.1759554993735621</v>
      </c>
      <c r="AD41" s="5"/>
      <c r="AE41" s="5">
        <f t="shared" si="24"/>
        <v>0.22192999999999996</v>
      </c>
      <c r="AF41" s="5">
        <f t="shared" si="25"/>
        <v>5.0132549999999991</v>
      </c>
      <c r="AG41" s="22">
        <f t="shared" si="26"/>
        <v>132.01659000000001</v>
      </c>
      <c r="AH41" s="11">
        <f t="shared" si="27"/>
        <v>26.333507870634953</v>
      </c>
      <c r="AI41" s="11">
        <f t="shared" si="28"/>
        <v>4.1759554993735621</v>
      </c>
      <c r="AJ41" s="16"/>
      <c r="AK41" s="5">
        <f t="shared" si="29"/>
        <v>0.17199442552305602</v>
      </c>
      <c r="AL41" s="5">
        <f t="shared" si="30"/>
        <v>0.17204498670001003</v>
      </c>
      <c r="AM41" s="5">
        <f t="shared" si="31"/>
        <v>0.24188934846351301</v>
      </c>
      <c r="AN41" s="5">
        <f t="shared" si="32"/>
        <v>1.4221805316905027</v>
      </c>
      <c r="AO41" s="5">
        <f t="shared" si="33"/>
        <v>0.23038059550164691</v>
      </c>
    </row>
    <row r="42" spans="1:41">
      <c r="A42" s="13" t="s">
        <v>49</v>
      </c>
      <c r="B42" s="13"/>
      <c r="C42" s="6">
        <f>C41+5</f>
        <v>35</v>
      </c>
      <c r="D42" s="6">
        <f>D41</f>
        <v>30</v>
      </c>
      <c r="E42" s="16">
        <f t="shared" si="14"/>
        <v>199.08652218847266</v>
      </c>
      <c r="F42" s="16">
        <f t="shared" si="15"/>
        <v>141.16502825439667</v>
      </c>
      <c r="G42" s="22">
        <f t="shared" si="1"/>
        <v>1257.9231008857387</v>
      </c>
      <c r="H42" s="248">
        <f>G41*H41/G42</f>
        <v>10.041477130899642</v>
      </c>
      <c r="I42" s="5">
        <f t="shared" si="2"/>
        <v>4.0511638463944841</v>
      </c>
      <c r="J42" s="5">
        <f t="shared" si="13"/>
        <v>3.4870115352947875</v>
      </c>
      <c r="K42" s="16">
        <f t="shared" si="3"/>
        <v>7.0563889806670916</v>
      </c>
      <c r="L42" s="16">
        <f t="shared" si="16"/>
        <v>5.7654028620045485</v>
      </c>
      <c r="M42" s="5">
        <f t="shared" si="4"/>
        <v>0.92319894117819312</v>
      </c>
      <c r="N42" s="279">
        <f t="shared" si="34"/>
        <v>0.66943180872664276</v>
      </c>
      <c r="O42" s="280">
        <f t="shared" si="35"/>
        <v>2.2188540367505762</v>
      </c>
      <c r="P42" s="280">
        <f t="shared" si="36"/>
        <v>1.9178434813346084</v>
      </c>
      <c r="R42" s="273">
        <f>(C42-C41)/C$17</f>
        <v>757.57575757575762</v>
      </c>
      <c r="S42" s="277">
        <f>SUM(R$23:R42)/60</f>
        <v>177.87500851291932</v>
      </c>
      <c r="U42" s="299">
        <f t="shared" si="17"/>
        <v>35.904876809753617</v>
      </c>
      <c r="V42" s="299">
        <f t="shared" si="18"/>
        <v>30.90487680975362</v>
      </c>
      <c r="W42" s="349">
        <f t="shared" si="37"/>
        <v>673.68421052631584</v>
      </c>
      <c r="X42" s="349">
        <f t="shared" si="38"/>
        <v>568.42105263157896</v>
      </c>
      <c r="Y42" s="5">
        <f t="shared" si="19"/>
        <v>0.23892999999999998</v>
      </c>
      <c r="Z42" s="5">
        <f t="shared" si="20"/>
        <v>6.1654049999999998</v>
      </c>
      <c r="AA42" s="16">
        <f t="shared" si="21"/>
        <v>187.83905666666664</v>
      </c>
      <c r="AB42" s="11">
        <f t="shared" si="22"/>
        <v>30.466620873513847</v>
      </c>
      <c r="AC42" s="11">
        <f t="shared" si="23"/>
        <v>5.0904365610052373</v>
      </c>
      <c r="AD42" s="5"/>
      <c r="AE42" s="5">
        <f t="shared" si="24"/>
        <v>0.22192999999999996</v>
      </c>
      <c r="AF42" s="5">
        <f t="shared" si="25"/>
        <v>5.0132549999999991</v>
      </c>
      <c r="AG42" s="22">
        <f t="shared" si="26"/>
        <v>132.01659000000001</v>
      </c>
      <c r="AH42" s="11">
        <f t="shared" si="27"/>
        <v>26.333507870634953</v>
      </c>
      <c r="AI42" s="11">
        <f t="shared" si="28"/>
        <v>4.1759554993735621</v>
      </c>
      <c r="AJ42" s="16"/>
      <c r="AK42" s="5">
        <f t="shared" si="29"/>
        <v>0.15990299003321243</v>
      </c>
      <c r="AL42" s="5">
        <f t="shared" si="30"/>
        <v>0.15995295344554758</v>
      </c>
      <c r="AM42" s="5">
        <f t="shared" si="31"/>
        <v>0.23601397523956347</v>
      </c>
      <c r="AN42" s="5">
        <f t="shared" si="32"/>
        <v>1.3596026177654403</v>
      </c>
      <c r="AO42" s="5">
        <f t="shared" si="33"/>
        <v>0.23422222645751489</v>
      </c>
    </row>
    <row r="43" spans="1:41">
      <c r="A43" s="13" t="s">
        <v>50</v>
      </c>
      <c r="B43" s="13"/>
      <c r="C43" s="6">
        <f>C42</f>
        <v>35</v>
      </c>
      <c r="D43" s="6">
        <f>D42+5</f>
        <v>35</v>
      </c>
      <c r="E43" s="16">
        <f t="shared" si="14"/>
        <v>199.08652218847266</v>
      </c>
      <c r="F43" s="16">
        <f t="shared" si="15"/>
        <v>199.08652218847266</v>
      </c>
      <c r="G43" s="22">
        <f t="shared" si="1"/>
        <v>1373.7660887538905</v>
      </c>
      <c r="H43" s="248">
        <f>G42*H42/G43</f>
        <v>9.1947283845331675</v>
      </c>
      <c r="I43" s="5">
        <f t="shared" si="2"/>
        <v>3.3967408200168712</v>
      </c>
      <c r="J43" s="5">
        <f t="shared" si="13"/>
        <v>3.3967408200168712</v>
      </c>
      <c r="K43" s="16">
        <f t="shared" si="3"/>
        <v>5.9165033559136839</v>
      </c>
      <c r="L43" s="16">
        <f t="shared" si="16"/>
        <v>5.9165033559136839</v>
      </c>
      <c r="M43" s="5">
        <f t="shared" si="4"/>
        <v>1.0082001462559871</v>
      </c>
      <c r="N43" s="279">
        <f t="shared" si="34"/>
        <v>0.61298189230221112</v>
      </c>
      <c r="O43" s="280">
        <f t="shared" si="35"/>
        <v>2.2188540367505758</v>
      </c>
      <c r="P43" s="280">
        <f t="shared" si="36"/>
        <v>2.2188540367505758</v>
      </c>
      <c r="R43" s="273">
        <f>(D43-D42)/C$17</f>
        <v>757.57575757575762</v>
      </c>
      <c r="S43" s="277">
        <f>SUM(R$23:R43)/60</f>
        <v>190.50127113918194</v>
      </c>
      <c r="U43" s="299">
        <f t="shared" si="17"/>
        <v>35.904876809753617</v>
      </c>
      <c r="V43" s="299">
        <f t="shared" si="18"/>
        <v>35.904876809753617</v>
      </c>
      <c r="W43" s="349">
        <f t="shared" si="37"/>
        <v>673.68421052631584</v>
      </c>
      <c r="X43" s="349">
        <f t="shared" si="38"/>
        <v>673.68421052631584</v>
      </c>
      <c r="Y43" s="5">
        <f t="shared" si="19"/>
        <v>0.23892999999999998</v>
      </c>
      <c r="Z43" s="5">
        <f t="shared" si="20"/>
        <v>6.1654049999999998</v>
      </c>
      <c r="AA43" s="16">
        <f t="shared" si="21"/>
        <v>187.83905666666664</v>
      </c>
      <c r="AB43" s="11">
        <f t="shared" si="22"/>
        <v>30.466620873513847</v>
      </c>
      <c r="AC43" s="11">
        <f t="shared" si="23"/>
        <v>5.0904365610052373</v>
      </c>
      <c r="AD43" s="5"/>
      <c r="AE43" s="5">
        <f t="shared" si="24"/>
        <v>0.23892999999999998</v>
      </c>
      <c r="AF43" s="5">
        <f t="shared" si="25"/>
        <v>6.1654049999999998</v>
      </c>
      <c r="AG43" s="22">
        <f t="shared" si="26"/>
        <v>187.83905666666664</v>
      </c>
      <c r="AH43" s="11">
        <f t="shared" si="27"/>
        <v>30.466620873513847</v>
      </c>
      <c r="AI43" s="11">
        <f t="shared" si="28"/>
        <v>5.0904365610052373</v>
      </c>
      <c r="AJ43" s="16"/>
      <c r="AK43" s="5">
        <f t="shared" si="29"/>
        <v>0.15990299003321243</v>
      </c>
      <c r="AL43" s="5">
        <f t="shared" si="30"/>
        <v>0.15995295344554758</v>
      </c>
      <c r="AM43" s="10">
        <f t="shared" si="31"/>
        <v>0.24664202042276492</v>
      </c>
      <c r="AN43" s="5">
        <f t="shared" si="32"/>
        <v>1.3134255796591114</v>
      </c>
      <c r="AO43" s="5">
        <f t="shared" si="33"/>
        <v>0.23422222645751489</v>
      </c>
    </row>
    <row r="44" spans="1:41">
      <c r="A44" s="13" t="s">
        <v>49</v>
      </c>
      <c r="B44" s="13"/>
      <c r="C44" s="6">
        <f>C43+5</f>
        <v>40</v>
      </c>
      <c r="D44" s="11">
        <f>D43</f>
        <v>35</v>
      </c>
      <c r="E44" s="22">
        <f t="shared" si="14"/>
        <v>269.10834518020681</v>
      </c>
      <c r="F44" s="22">
        <f t="shared" si="15"/>
        <v>199.08652218847266</v>
      </c>
      <c r="G44" s="22">
        <f t="shared" si="1"/>
        <v>1513.8097347373587</v>
      </c>
      <c r="H44" s="248">
        <f>G43*H43/G44</f>
        <v>8.3441173353043734</v>
      </c>
      <c r="I44" s="5">
        <f t="shared" si="2"/>
        <v>3.1868898600708442</v>
      </c>
      <c r="J44" s="5">
        <f t="shared" si="13"/>
        <v>2.7973409714514141</v>
      </c>
      <c r="K44" s="16">
        <f t="shared" si="3"/>
        <v>5.8287867681157017</v>
      </c>
      <c r="L44" s="16">
        <f t="shared" si="16"/>
        <v>4.8724580773710402</v>
      </c>
      <c r="M44" s="5">
        <f t="shared" si="4"/>
        <v>1.110952918834881</v>
      </c>
      <c r="N44" s="279">
        <f t="shared" si="34"/>
        <v>0.55627448902029153</v>
      </c>
      <c r="O44" s="280">
        <f t="shared" si="35"/>
        <v>2.5147642900952207</v>
      </c>
      <c r="P44" s="280">
        <f t="shared" si="36"/>
        <v>2.2188540367505762</v>
      </c>
      <c r="R44" s="273">
        <f>(C44-C43)/C$17</f>
        <v>757.57575757575762</v>
      </c>
      <c r="S44" s="277">
        <f>SUM(R$23:R44)/60</f>
        <v>203.12753376544458</v>
      </c>
      <c r="U44" s="299">
        <f t="shared" si="17"/>
        <v>40.904876809753617</v>
      </c>
      <c r="V44" s="299">
        <f t="shared" si="18"/>
        <v>35.904876809753617</v>
      </c>
      <c r="W44" s="349">
        <f t="shared" si="37"/>
        <v>778.9473684210526</v>
      </c>
      <c r="X44" s="349">
        <f t="shared" si="38"/>
        <v>673.68421052631584</v>
      </c>
      <c r="Y44" s="5">
        <f t="shared" si="19"/>
        <v>0.25592999999999999</v>
      </c>
      <c r="Z44" s="11">
        <f t="shared" si="20"/>
        <v>7.4025550000000004</v>
      </c>
      <c r="AA44" s="16">
        <f t="shared" si="21"/>
        <v>255.60802333333331</v>
      </c>
      <c r="AB44" s="11">
        <f t="shared" si="22"/>
        <v>34.529702694992913</v>
      </c>
      <c r="AC44" s="11">
        <f t="shared" si="23"/>
        <v>6.0711614793538304</v>
      </c>
      <c r="AD44" s="5"/>
      <c r="AE44" s="5">
        <f t="shared" si="24"/>
        <v>0.23892999999999998</v>
      </c>
      <c r="AF44" s="5">
        <f t="shared" si="25"/>
        <v>6.1654049999999998</v>
      </c>
      <c r="AG44" s="22">
        <f t="shared" si="26"/>
        <v>187.83905666666664</v>
      </c>
      <c r="AH44" s="11">
        <f t="shared" si="27"/>
        <v>30.466620873513847</v>
      </c>
      <c r="AI44" s="11">
        <f t="shared" si="28"/>
        <v>5.0904365610052373</v>
      </c>
      <c r="AJ44" s="16"/>
      <c r="AK44" s="5">
        <f t="shared" si="29"/>
        <v>0.15020082196254331</v>
      </c>
      <c r="AL44" s="5">
        <f t="shared" si="30"/>
        <v>0.15025053677307193</v>
      </c>
      <c r="AM44" s="5">
        <f t="shared" si="31"/>
        <v>0.24319914566533343</v>
      </c>
      <c r="AN44" s="5">
        <f t="shared" si="32"/>
        <v>1.2714735344330721</v>
      </c>
      <c r="AO44" s="5">
        <f t="shared" si="33"/>
        <v>0.23834214032297707</v>
      </c>
    </row>
    <row r="45" spans="1:41">
      <c r="A45" s="13" t="s">
        <v>50</v>
      </c>
      <c r="B45" s="13"/>
      <c r="C45" s="6">
        <f>C44</f>
        <v>40</v>
      </c>
      <c r="D45" s="11">
        <f>D44+5</f>
        <v>40</v>
      </c>
      <c r="E45" s="22">
        <f t="shared" ref="E45" si="39">((C45+$K$8-$K$10)^3-$K$8^3)*$K$4/3+((C45+$K$8)^3-(C45+$K$8-$K$10)^3)*$K$5/3+((C45+$K$8)^2-$K$8^2)*$K$6+((C45+$K$8-$K$10)^2-$K$8^2)*$K$7</f>
        <v>269.10834518020681</v>
      </c>
      <c r="F45" s="22">
        <f t="shared" ref="F45" si="40">((D45+$K$8-$K$10)^3-$K$8^3)*$K$4/3+((D45+$K$8)^3-(D45+$K$8-$K$10)^3)*$K$5/3+((D45+$K$8)^2-$K$8^2)*$K$6+((D45+$K$8-$K$10)^2-$K$8^2)*$K$7</f>
        <v>269.10834518020681</v>
      </c>
      <c r="G45" s="22">
        <f t="shared" ref="G45" si="41">$C$12+2*E45+2*F45</f>
        <v>1653.8533807208271</v>
      </c>
      <c r="H45" s="248">
        <f>G44*H44/G45</f>
        <v>7.6375609816567591</v>
      </c>
      <c r="I45" s="5">
        <f t="shared" ref="I45" si="42">(H45*2*PI()/60)^2*(C45+$K$8)/9.8</f>
        <v>2.6700268645277565</v>
      </c>
      <c r="J45" s="5">
        <f t="shared" ref="J45" si="43">(H45*2*PI()/60)^2*(D45+$K$8)/9.8</f>
        <v>2.6700268645277565</v>
      </c>
      <c r="K45" s="16">
        <f t="shared" ref="K45" si="44">(((C45-$K$10+$K$8)^2-K$8^2)*K$4/2+((C45+$K$8)^2-(C45-$K$10+$K$8)^2)*$K$5/2+(C45+$K$8)*K$6+(C45-$K$10+$K$8)*K$7)*(H45*2*PI()/60)^2</f>
        <v>4.8834499909974545</v>
      </c>
      <c r="L45" s="16">
        <f t="shared" ref="L45" si="45">(((D45-$K$10+$K$8)^2-K$8^2)*K$4/2+((D45+$K$8)^2-(D45-$K$10+$K$8)^2)*$K$5/2+(D45+$K$8)*K$6+(D45-$K$10+$K$8)*K$7)*(H45*2*PI()/60)^2</f>
        <v>4.8834499909974545</v>
      </c>
      <c r="M45" s="5">
        <f t="shared" ref="M45" si="46">ATAN(2*$C$17/($K$9*H45*2*PI()/60))*180/PI()</f>
        <v>1.2136985449492372</v>
      </c>
      <c r="N45" s="279">
        <f t="shared" ref="N45" si="47">2*O$17*H45/60</f>
        <v>0.50917073211045061</v>
      </c>
      <c r="O45" s="280">
        <f t="shared" ref="O45" si="48">(180/PI())*ATAN((N45*$E$17*$H$17) / $G45 /($H45*2*PI()/60)^2)*(AB45/$K$9)</f>
        <v>2.5147642900952198</v>
      </c>
      <c r="P45" s="280">
        <f t="shared" ref="P45" si="49">(180/PI())*ATAN((N45*$E$17*$H$17) / $G45 /($H45*2*PI()/60)^2)*(AH45/$K$9)</f>
        <v>2.5147642900952198</v>
      </c>
      <c r="R45" s="273">
        <f>(C45-C44)/C$17</f>
        <v>0</v>
      </c>
      <c r="S45" s="277">
        <f>SUM(R$23:R45)/60</f>
        <v>203.12753376544458</v>
      </c>
      <c r="U45" s="299">
        <f t="shared" ref="U45" si="50">C45+$K$8</f>
        <v>40.904876809753617</v>
      </c>
      <c r="V45" s="299">
        <f t="shared" ref="V45" si="51">D45+$K$8</f>
        <v>40.904876809753617</v>
      </c>
      <c r="W45" s="349">
        <f t="shared" ref="W45" si="52">100*(C45-$K$10)/$W$7</f>
        <v>778.9473684210526</v>
      </c>
      <c r="X45" s="349">
        <f t="shared" ref="X45" si="53">100*(D45-$K$10)/$W$7</f>
        <v>778.9473684210526</v>
      </c>
      <c r="Y45" s="5">
        <f t="shared" ref="Y45" si="54">(C45-$K$10)*$K$4+$K$10*$K$5+$K$6+$K$7</f>
        <v>0.25592999999999999</v>
      </c>
      <c r="Z45" s="11">
        <f t="shared" ref="Z45" si="55">(C45-$K$10)^2*$K$4/2+(C45^2-(C45-$K$10)^2)*$K$5/2+C45*$K$6+(C45-$K$10)*$K$7</f>
        <v>7.4025550000000004</v>
      </c>
      <c r="AA45" s="16">
        <f t="shared" ref="AA45" si="56">(C45-$K$10)^3*$K$4/3+(C45^3-(C45-$K$10)^3)*$K$5/3+C45^2*$K$6+(C45-$K$10)^2*$K$7</f>
        <v>255.60802333333331</v>
      </c>
      <c r="AB45" s="11">
        <f t="shared" ref="AB45" si="57">AA45/Z45</f>
        <v>34.529702694992913</v>
      </c>
      <c r="AC45" s="11">
        <f t="shared" ref="AC45" si="58">($K$9/AB45)*E45</f>
        <v>6.0711614793538304</v>
      </c>
      <c r="AD45" s="5"/>
      <c r="AE45" s="5">
        <f t="shared" ref="AE45" si="59">(D45-$K$10)*$K$4+$K$10*$K$5+$K$6+$K$7</f>
        <v>0.25592999999999999</v>
      </c>
      <c r="AF45" s="5">
        <f t="shared" ref="AF45" si="60">(D45-$K$10)^2*$K$4/2+(D45^2-(D45-$K$10)^2)*$K$5/2+D45*$K$6+(D45-$K$10)*$K$7</f>
        <v>7.4025550000000004</v>
      </c>
      <c r="AG45" s="22">
        <f t="shared" ref="AG45" si="61">(D45-$K$10)^3*$K$4/3+(D45^3-(D45-$K$10)^3)*$K$5/3+D45^2*$K$6+(D45-$K$10)^2*$K$7</f>
        <v>255.60802333333331</v>
      </c>
      <c r="AH45" s="11">
        <f t="shared" ref="AH45" si="62">AG45/AF45</f>
        <v>34.529702694992913</v>
      </c>
      <c r="AI45" s="11">
        <f t="shared" ref="AI45" si="63">($K$9/AH45)*F45</f>
        <v>6.0711614793538304</v>
      </c>
      <c r="AJ45" s="16"/>
      <c r="AK45" s="5">
        <f t="shared" ref="AK45" si="64">SQRT($K$9/AB45)</f>
        <v>0.15020082196254331</v>
      </c>
      <c r="AL45" s="5">
        <f t="shared" ref="AL45" si="65">AK45*SQRT(1/(1-2*Z45^2/(($E$6+4*Y45)*AA45)))</f>
        <v>0.15025053677307193</v>
      </c>
      <c r="AM45" s="5">
        <f t="shared" ref="AM45" si="66">SQRT(($K$9/AB45)*(G45/$C$12))</f>
        <v>0.25419962222706605</v>
      </c>
      <c r="AN45" s="5">
        <f t="shared" ref="AN45" si="67">SQRT(G45/(G45-$C$12))</f>
        <v>1.2395239545471797</v>
      </c>
      <c r="AO45" s="5">
        <f t="shared" ref="AO45" si="68">($C$12+2*AC45)/($A$12+$P$12)-1</f>
        <v>0.23834214032297707</v>
      </c>
    </row>
    <row r="46" spans="1:41">
      <c r="A46" s="13" t="s">
        <v>49</v>
      </c>
      <c r="B46" s="13"/>
      <c r="C46" s="22">
        <f>C44+5</f>
        <v>45</v>
      </c>
      <c r="D46" s="11">
        <f>D45</f>
        <v>40</v>
      </c>
      <c r="E46" s="22">
        <f t="shared" si="14"/>
        <v>352.08049722959902</v>
      </c>
      <c r="F46" s="22">
        <f t="shared" si="15"/>
        <v>269.10834518020681</v>
      </c>
      <c r="G46" s="22">
        <f t="shared" si="1"/>
        <v>1819.7976848196115</v>
      </c>
      <c r="H46" s="248">
        <f>G44*H44/G46</f>
        <v>6.9411045828573004</v>
      </c>
      <c r="I46" s="5">
        <f t="shared" si="2"/>
        <v>2.4748402042492836</v>
      </c>
      <c r="J46" s="5">
        <f t="shared" si="13"/>
        <v>2.2052784086141579</v>
      </c>
      <c r="K46" s="16">
        <f t="shared" si="3"/>
        <v>4.7401037707407809</v>
      </c>
      <c r="L46" s="16">
        <f t="shared" si="16"/>
        <v>4.0334301380141548</v>
      </c>
      <c r="M46" s="5">
        <f t="shared" si="4"/>
        <v>1.3354365124337721</v>
      </c>
      <c r="N46" s="279">
        <f t="shared" si="34"/>
        <v>0.46274030552382001</v>
      </c>
      <c r="O46" s="280">
        <f t="shared" si="35"/>
        <v>2.8061905447980795</v>
      </c>
      <c r="P46" s="280">
        <f t="shared" si="36"/>
        <v>2.5147642900952207</v>
      </c>
      <c r="R46" s="273">
        <f>(C46-C44)/C$17</f>
        <v>757.57575757575762</v>
      </c>
      <c r="S46" s="277">
        <f>SUM(R$23:R46)/60</f>
        <v>215.7537963917072</v>
      </c>
      <c r="U46" s="299">
        <f t="shared" si="17"/>
        <v>45.904876809753617</v>
      </c>
      <c r="V46" s="299">
        <f t="shared" si="18"/>
        <v>40.904876809753617</v>
      </c>
      <c r="W46" s="349">
        <f t="shared" si="37"/>
        <v>884.21052631578948</v>
      </c>
      <c r="X46" s="349">
        <f t="shared" si="38"/>
        <v>778.9473684210526</v>
      </c>
      <c r="Y46" s="5">
        <f t="shared" si="19"/>
        <v>0.27292999999999995</v>
      </c>
      <c r="Z46" s="11">
        <f t="shared" si="20"/>
        <v>8.7247049999999984</v>
      </c>
      <c r="AA46" s="16">
        <f t="shared" si="21"/>
        <v>336.17348999999996</v>
      </c>
      <c r="AB46" s="11">
        <f t="shared" si="22"/>
        <v>38.531215668610002</v>
      </c>
      <c r="AC46" s="11">
        <f t="shared" si="23"/>
        <v>7.1181431102703607</v>
      </c>
      <c r="AD46" s="5"/>
      <c r="AE46" s="5">
        <f t="shared" si="24"/>
        <v>0.25592999999999999</v>
      </c>
      <c r="AF46" s="5">
        <f t="shared" si="25"/>
        <v>7.4025550000000004</v>
      </c>
      <c r="AG46" s="22">
        <f t="shared" si="26"/>
        <v>255.60802333333331</v>
      </c>
      <c r="AH46" s="11">
        <f t="shared" si="27"/>
        <v>34.529702694992913</v>
      </c>
      <c r="AI46" s="11">
        <f t="shared" si="28"/>
        <v>6.0711614793538304</v>
      </c>
      <c r="AJ46" s="16"/>
      <c r="AK46" s="5">
        <f t="shared" si="29"/>
        <v>0.14218781261373323</v>
      </c>
      <c r="AL46" s="5">
        <f t="shared" si="30"/>
        <v>0.14223751664523862</v>
      </c>
      <c r="AM46" s="10">
        <f t="shared" si="31"/>
        <v>0.25242247232367099</v>
      </c>
      <c r="AN46" s="5">
        <f t="shared" si="32"/>
        <v>1.2102768688803871</v>
      </c>
      <c r="AO46" s="5">
        <f t="shared" si="33"/>
        <v>0.24274039110400225</v>
      </c>
    </row>
    <row r="47" spans="1:41">
      <c r="A47" s="13" t="s">
        <v>50</v>
      </c>
      <c r="B47" s="13"/>
      <c r="C47" s="11">
        <f>C46</f>
        <v>45</v>
      </c>
      <c r="D47" s="11">
        <f>D46+5</f>
        <v>45</v>
      </c>
      <c r="E47" s="22">
        <f t="shared" si="14"/>
        <v>352.08049722959902</v>
      </c>
      <c r="F47" s="22">
        <f t="shared" si="15"/>
        <v>352.08049722959902</v>
      </c>
      <c r="G47" s="22">
        <f t="shared" si="1"/>
        <v>1985.7419889183959</v>
      </c>
      <c r="H47" s="248">
        <f>G46*H46/G47</f>
        <v>6.3610509927599654</v>
      </c>
      <c r="I47" s="5">
        <f t="shared" si="2"/>
        <v>2.0784890489438519</v>
      </c>
      <c r="J47" s="5">
        <f t="shared" si="13"/>
        <v>2.0784890489438519</v>
      </c>
      <c r="K47" s="16">
        <f t="shared" si="3"/>
        <v>3.9809656241344067</v>
      </c>
      <c r="L47" s="16">
        <f t="shared" si="16"/>
        <v>3.9809656241344067</v>
      </c>
      <c r="M47" s="5">
        <f t="shared" si="4"/>
        <v>1.4571624213693759</v>
      </c>
      <c r="N47" s="281">
        <f t="shared" si="34"/>
        <v>0.42407006618399767</v>
      </c>
      <c r="O47" s="282">
        <f t="shared" si="35"/>
        <v>2.8061905447980786</v>
      </c>
      <c r="P47" s="282">
        <f t="shared" si="36"/>
        <v>2.8061905447980786</v>
      </c>
      <c r="R47" s="273">
        <f>(C47-C46)/C$17</f>
        <v>0</v>
      </c>
      <c r="S47" s="277">
        <f>SUM(R$23:R47)/60</f>
        <v>215.7537963917072</v>
      </c>
      <c r="U47" s="299">
        <f t="shared" si="17"/>
        <v>45.904876809753617</v>
      </c>
      <c r="V47" s="299">
        <f t="shared" si="18"/>
        <v>45.904876809753617</v>
      </c>
      <c r="W47" s="349">
        <f t="shared" si="37"/>
        <v>884.21052631578948</v>
      </c>
      <c r="X47" s="349">
        <f t="shared" si="38"/>
        <v>884.21052631578948</v>
      </c>
      <c r="Y47" s="5">
        <f t="shared" si="19"/>
        <v>0.27292999999999995</v>
      </c>
      <c r="Z47" s="11">
        <f t="shared" si="20"/>
        <v>8.7247049999999984</v>
      </c>
      <c r="AA47" s="16">
        <f t="shared" si="21"/>
        <v>336.17348999999996</v>
      </c>
      <c r="AB47" s="11">
        <f t="shared" si="22"/>
        <v>38.531215668610002</v>
      </c>
      <c r="AC47" s="11">
        <f t="shared" si="23"/>
        <v>7.1181431102703607</v>
      </c>
      <c r="AD47" s="5"/>
      <c r="AE47" s="5">
        <f t="shared" si="24"/>
        <v>0.27292999999999995</v>
      </c>
      <c r="AF47" s="5">
        <f t="shared" si="25"/>
        <v>8.7247049999999984</v>
      </c>
      <c r="AG47" s="22">
        <f t="shared" si="26"/>
        <v>336.17348999999996</v>
      </c>
      <c r="AH47" s="11">
        <f t="shared" si="27"/>
        <v>38.531215668610002</v>
      </c>
      <c r="AI47" s="11">
        <f t="shared" si="28"/>
        <v>7.1181431102703607</v>
      </c>
      <c r="AJ47" s="16"/>
      <c r="AK47" s="5">
        <f t="shared" si="29"/>
        <v>0.14218781261373323</v>
      </c>
      <c r="AL47" s="5">
        <f t="shared" si="30"/>
        <v>0.14223751664523862</v>
      </c>
      <c r="AM47" s="5">
        <f t="shared" si="31"/>
        <v>0.2636804137941608</v>
      </c>
      <c r="AN47" s="5">
        <f t="shared" si="32"/>
        <v>1.1874365960100701</v>
      </c>
      <c r="AO47" s="5">
        <f t="shared" si="33"/>
        <v>0.24274039110400225</v>
      </c>
    </row>
    <row r="48" spans="1:41">
      <c r="A48" s="13" t="s">
        <v>49</v>
      </c>
      <c r="B48" s="13"/>
      <c r="C48" s="11">
        <f>C46+4.095</f>
        <v>49.094999999999999</v>
      </c>
      <c r="D48" s="11">
        <f>D47</f>
        <v>45</v>
      </c>
      <c r="E48" s="22">
        <f t="shared" ref="E48:E49" si="69">((C48+$K$8-$K$10)^3-$K$8^3)*$K$4/3+((C48+$K$8)^3-(C48+$K$8-$K$10)^3)*$K$5/3+((C48+$K$8)^2-$K$8^2)*$K$6+((C48+$K$8-$K$10)^2-$K$8^2)*$K$7</f>
        <v>430.27608581170921</v>
      </c>
      <c r="F48" s="22">
        <f t="shared" ref="F48:F49" si="70">((D48+$K$8-$K$10)^3-$K$8^3)*$K$4/3+((D48+$K$8)^3-(D48+$K$8-$K$10)^3)*$K$5/3+((D48+$K$8)^2-$K$8^2)*$K$6+((D48+$K$8-$K$10)^2-$K$8^2)*$K$7</f>
        <v>352.08049722959902</v>
      </c>
      <c r="G48" s="22">
        <f t="shared" ref="G48:G49" si="71">$C$12+2*E48+2*F48</f>
        <v>2142.1331660826163</v>
      </c>
      <c r="H48" s="248">
        <f>G46*H46/G48</f>
        <v>5.8966483736741466</v>
      </c>
      <c r="I48" s="5">
        <f t="shared" ref="I48:I49" si="72">(H48*2*PI()/60)^2*(C48+$K$8)/9.8</f>
        <v>1.9454073679104329</v>
      </c>
      <c r="J48" s="5">
        <f t="shared" ref="J48:J49" si="73">(H48*2*PI()/60)^2*(D48+$K$8)/9.8</f>
        <v>1.7860781119223625</v>
      </c>
      <c r="K48" s="16">
        <f t="shared" ref="K48:K49" si="74">(((C48-$K$10+$K$8)^2-K$8^2)*K$4/2+((C48+$K$8)^2-(C48-$K$10+$K$8)^2)*$K$5/2+(C48+$K$8)*K$6+(C48-$K$10+$K$8)*K$7)*(H48*2*PI()/60)^2</f>
        <v>3.8627398749288764</v>
      </c>
      <c r="L48" s="16">
        <f t="shared" ref="L48:L49" si="75">(((D48-$K$10+$K$8)^2-K$8^2)*K$4/2+((D48+$K$8)^2-(D48-$K$10+$K$8)^2)*$K$5/2+(D48+$K$8)*K$6+(D48-$K$10+$K$8)*K$7)*(H48*2*PI()/60)^2</f>
        <v>3.4209059553115249</v>
      </c>
      <c r="M48" s="5">
        <f t="shared" ref="M48:M49" si="76">ATAN(2*$C$17/($K$9*H48*2*PI()/60))*180/PI()</f>
        <v>1.571868758034328</v>
      </c>
      <c r="N48" s="279">
        <f t="shared" ref="N48:N49" si="77">2*O$17*H48/60</f>
        <v>0.39310989157827642</v>
      </c>
      <c r="O48" s="280">
        <f t="shared" ref="O48:O49" si="78">(180/PI())*ATAN((N48*$E$17*$H$17) / $G48 /($H48*2*PI()/60)^2)*(AB48/$K$9)</f>
        <v>3.0419025141544758</v>
      </c>
      <c r="P48" s="280">
        <f t="shared" ref="P48:P49" si="79">(180/PI())*ATAN((N48*$E$17*$H$17) / $G48 /($H48*2*PI()/60)^2)*(AH48/$K$9)</f>
        <v>2.8061905447980777</v>
      </c>
      <c r="R48" s="273">
        <f>(C48-C46)/C$17</f>
        <v>620.45454545454527</v>
      </c>
      <c r="S48" s="277">
        <f>SUM(R$23:R48)/60</f>
        <v>226.09470548261632</v>
      </c>
      <c r="U48" s="299">
        <f t="shared" ref="U48:U49" si="80">C48+$K$8</f>
        <v>49.999876809753616</v>
      </c>
      <c r="V48" s="299">
        <f t="shared" ref="V48:V49" si="81">D48+$K$8</f>
        <v>45.904876809753617</v>
      </c>
      <c r="W48" s="349">
        <f t="shared" ref="W48:W49" si="82">100*(C48-$K$10)/$W$7</f>
        <v>970.42105263157896</v>
      </c>
      <c r="X48" s="349">
        <f t="shared" ref="X48:X49" si="83">100*(D48-$K$10)/$W$7</f>
        <v>884.21052631578948</v>
      </c>
      <c r="Y48" s="5">
        <f t="shared" ref="Y48:Y49" si="84">(C48-$K$10)*$K$4+$K$10*$K$5+$K$6+$K$7</f>
        <v>0.28685299999999997</v>
      </c>
      <c r="Z48" s="11">
        <f t="shared" ref="Z48:Z49" si="85">(C48-$K$10)^2*$K$4/2+(C48^2-(C48-$K$10)^2)*$K$5/2+C48*$K$6+(C48-$K$10)*$K$7</f>
        <v>9.8708606924999991</v>
      </c>
      <c r="AA48" s="16">
        <f t="shared" ref="AA48:AA49" si="86">(C48-$K$10)^3*$K$4/3+(C48^3-(C48-$K$10)^3)*$K$5/3+C48^2*$K$6+(C48-$K$10)^2*$K$7</f>
        <v>412.283418988275</v>
      </c>
      <c r="AB48" s="11">
        <f t="shared" ref="AB48:AB49" si="87">AA48/Z48</f>
        <v>41.767727438553862</v>
      </c>
      <c r="AC48" s="11">
        <f t="shared" ref="AC48:AC49" si="88">($K$9/AB48)*E48</f>
        <v>8.0249774503634494</v>
      </c>
      <c r="AD48" s="5"/>
      <c r="AE48" s="5">
        <f t="shared" ref="AE48:AE49" si="89">(D48-$K$10)*$K$4+$K$10*$K$5+$K$6+$K$7</f>
        <v>0.27292999999999995</v>
      </c>
      <c r="AF48" s="5">
        <f t="shared" ref="AF48:AF49" si="90">(D48-$K$10)^2*$K$4/2+(D48^2-(D48-$K$10)^2)*$K$5/2+D48*$K$6+(D48-$K$10)*$K$7</f>
        <v>8.7247049999999984</v>
      </c>
      <c r="AG48" s="22">
        <f t="shared" ref="AG48:AG49" si="91">(D48-$K$10)^3*$K$4/3+(D48^3-(D48-$K$10)^3)*$K$5/3+D48^2*$K$6+(D48-$K$10)^2*$K$7</f>
        <v>336.17348999999996</v>
      </c>
      <c r="AH48" s="11">
        <f t="shared" ref="AH48:AH49" si="92">AG48/AF48</f>
        <v>38.531215668610002</v>
      </c>
      <c r="AI48" s="11">
        <f t="shared" ref="AI48:AI49" si="93">($K$9/AH48)*F48</f>
        <v>7.1181431102703607</v>
      </c>
      <c r="AJ48" s="16"/>
      <c r="AK48" s="5">
        <f t="shared" ref="AK48:AK49" si="94">SQRT($K$9/AB48)</f>
        <v>0.13656779762094984</v>
      </c>
      <c r="AL48" s="5">
        <f t="shared" ref="AL48:AL49" si="95">AK48*SQRT(1/(1-2*Z48^2/(($E$6+4*Y48)*AA48)))</f>
        <v>0.13661762021081056</v>
      </c>
      <c r="AM48" s="10">
        <f t="shared" ref="AM48:AM49" si="96">SQRT(($K$9/AB48)*(G48/$C$12))</f>
        <v>0.26304232056069038</v>
      </c>
      <c r="AN48" s="5">
        <f t="shared" ref="AN48:AN49" si="97">SQRT(G48/(G48-$C$12))</f>
        <v>1.1700538883858116</v>
      </c>
      <c r="AO48" s="5">
        <f t="shared" ref="AO48:AO49" si="98">($C$12+2*AC48)/($A$12+$P$12)-1</f>
        <v>0.24654989905218194</v>
      </c>
    </row>
    <row r="49" spans="1:44" ht="13.5" thickBot="1">
      <c r="A49" s="13" t="s">
        <v>50</v>
      </c>
      <c r="B49" s="13"/>
      <c r="C49" s="11">
        <f>C48</f>
        <v>49.094999999999999</v>
      </c>
      <c r="D49" s="11">
        <f>D48+4.095</f>
        <v>49.094999999999999</v>
      </c>
      <c r="E49" s="22">
        <f t="shared" si="69"/>
        <v>430.27608581170921</v>
      </c>
      <c r="F49" s="22">
        <f t="shared" si="70"/>
        <v>430.27608581170921</v>
      </c>
      <c r="G49" s="22">
        <f t="shared" si="71"/>
        <v>2298.5243432468369</v>
      </c>
      <c r="H49" s="248">
        <f>G48*H48/G49</f>
        <v>5.4954414936200795</v>
      </c>
      <c r="I49" s="5">
        <f t="shared" si="72"/>
        <v>1.6896831443222453</v>
      </c>
      <c r="J49" s="5">
        <f t="shared" si="73"/>
        <v>1.6896831443222453</v>
      </c>
      <c r="K49" s="16">
        <f t="shared" si="74"/>
        <v>3.3549818743511803</v>
      </c>
      <c r="L49" s="16">
        <f t="shared" si="75"/>
        <v>3.3549818743511803</v>
      </c>
      <c r="M49" s="5">
        <f t="shared" si="76"/>
        <v>1.6865624927852465</v>
      </c>
      <c r="N49" s="281">
        <f t="shared" si="77"/>
        <v>0.36636276624133862</v>
      </c>
      <c r="O49" s="282">
        <f t="shared" si="78"/>
        <v>3.0419025141544771</v>
      </c>
      <c r="P49" s="282">
        <f t="shared" si="79"/>
        <v>3.0419025141544771</v>
      </c>
      <c r="R49" s="273">
        <f>(C49-C48)/C$17</f>
        <v>0</v>
      </c>
      <c r="S49" s="277">
        <f>SUM(R$23:R49)/60</f>
        <v>226.09470548261632</v>
      </c>
      <c r="U49" s="299">
        <f t="shared" si="80"/>
        <v>49.999876809753616</v>
      </c>
      <c r="V49" s="299">
        <f t="shared" si="81"/>
        <v>49.999876809753616</v>
      </c>
      <c r="W49" s="349">
        <f t="shared" si="82"/>
        <v>970.42105263157896</v>
      </c>
      <c r="X49" s="349">
        <f t="shared" si="83"/>
        <v>970.42105263157896</v>
      </c>
      <c r="Y49" s="5">
        <f t="shared" si="84"/>
        <v>0.28685299999999997</v>
      </c>
      <c r="Z49" s="11">
        <f t="shared" si="85"/>
        <v>9.8708606924999991</v>
      </c>
      <c r="AA49" s="16">
        <f t="shared" si="86"/>
        <v>412.283418988275</v>
      </c>
      <c r="AB49" s="11">
        <f t="shared" si="87"/>
        <v>41.767727438553862</v>
      </c>
      <c r="AC49" s="11">
        <f t="shared" si="88"/>
        <v>8.0249774503634494</v>
      </c>
      <c r="AD49" s="5"/>
      <c r="AE49" s="5">
        <f t="shared" si="89"/>
        <v>0.28685299999999997</v>
      </c>
      <c r="AF49" s="5">
        <f t="shared" si="90"/>
        <v>9.8708606924999991</v>
      </c>
      <c r="AG49" s="22">
        <f t="shared" si="91"/>
        <v>412.283418988275</v>
      </c>
      <c r="AH49" s="11">
        <f t="shared" si="92"/>
        <v>41.767727438553862</v>
      </c>
      <c r="AI49" s="11">
        <f t="shared" si="93"/>
        <v>8.0249774503634494</v>
      </c>
      <c r="AJ49" s="16"/>
      <c r="AK49" s="5">
        <f t="shared" si="94"/>
        <v>0.13656779762094984</v>
      </c>
      <c r="AL49" s="5">
        <f t="shared" si="95"/>
        <v>0.13661762021081056</v>
      </c>
      <c r="AM49" s="5">
        <f t="shared" si="96"/>
        <v>0.27247518014360761</v>
      </c>
      <c r="AN49" s="5">
        <f t="shared" si="97"/>
        <v>1.1556357103802883</v>
      </c>
      <c r="AO49" s="5">
        <f t="shared" si="98"/>
        <v>0.24654989905218194</v>
      </c>
    </row>
    <row r="50" spans="1:44" ht="13.5" thickBot="1">
      <c r="A50" s="12" t="s">
        <v>588</v>
      </c>
      <c r="B50" s="13"/>
      <c r="C50" s="11">
        <f>$K$11/2-$K$8</f>
        <v>49.095123190246383</v>
      </c>
      <c r="D50" s="11">
        <f>$K$12/2-$K$8</f>
        <v>49.095123190246383</v>
      </c>
      <c r="E50" s="22">
        <f t="shared" si="14"/>
        <v>430.27858209873688</v>
      </c>
      <c r="F50" s="22">
        <f>((D50+$K$8-$K$10)^3-$K$8^3)*$K$4/3+((D50+$K$8)^3-(D50+$K$8-$K$10)^3)*$K$5/3+((D50+$K$8)^2-$K$8^2)*$K$6+((D50+$K$8-$K$10)^2-$K$8^2)*$K$7</f>
        <v>430.27858209873688</v>
      </c>
      <c r="G50" s="22">
        <f t="shared" si="1"/>
        <v>2298.5343283949474</v>
      </c>
      <c r="H50" s="520">
        <f>A4</f>
        <v>5.5</v>
      </c>
      <c r="I50" s="5">
        <f>(H50*2*PI()/60)^2*(C50+$K$8)/9.8</f>
        <v>1.6924916844271709</v>
      </c>
      <c r="J50" s="5">
        <f>(H50*2*PI()/60)^2*(D50+$K$8)/9.8</f>
        <v>1.6924916844271709</v>
      </c>
      <c r="K50" s="16">
        <f t="shared" si="3"/>
        <v>3.3605619919500711</v>
      </c>
      <c r="L50" s="16">
        <f t="shared" si="16"/>
        <v>3.3605619919500711</v>
      </c>
      <c r="M50" s="5">
        <f t="shared" si="4"/>
        <v>1.6851654435053511</v>
      </c>
      <c r="N50" s="272">
        <f>2*O$17*H50/60</f>
        <v>0.36666666666666664</v>
      </c>
      <c r="O50" s="16">
        <f t="shared" si="35"/>
        <v>3.0393751724988762</v>
      </c>
      <c r="P50" s="16">
        <f t="shared" si="36"/>
        <v>3.0393751724988762</v>
      </c>
      <c r="Q50" s="276">
        <f>ABS(((G50*H50-G47*H47)*2*PI()/60)/(E$17*H$17*O$17))</f>
        <v>0.26805323315423102</v>
      </c>
      <c r="R50" s="276"/>
      <c r="S50" s="277"/>
      <c r="U50" s="299">
        <f t="shared" si="17"/>
        <v>50</v>
      </c>
      <c r="V50" s="299">
        <f t="shared" si="18"/>
        <v>50</v>
      </c>
      <c r="W50" s="349">
        <f t="shared" si="37"/>
        <v>970.42364611045025</v>
      </c>
      <c r="X50" s="349">
        <f t="shared" si="38"/>
        <v>970.42364611045025</v>
      </c>
      <c r="Y50" s="5">
        <f t="shared" si="19"/>
        <v>0.28685341884683768</v>
      </c>
      <c r="Z50" s="11">
        <f t="shared" si="20"/>
        <v>9.8708960300175441</v>
      </c>
      <c r="AA50" s="16">
        <f t="shared" si="21"/>
        <v>412.28585098014969</v>
      </c>
      <c r="AB50" s="11">
        <f t="shared" si="22"/>
        <v>41.767824291369514</v>
      </c>
      <c r="AC50" s="11">
        <f t="shared" si="23"/>
        <v>8.0250053992919064</v>
      </c>
      <c r="AD50" s="5"/>
      <c r="AE50" s="5">
        <f t="shared" si="24"/>
        <v>0.28685341884683768</v>
      </c>
      <c r="AF50" s="5">
        <f t="shared" si="25"/>
        <v>9.8708960300175441</v>
      </c>
      <c r="AG50" s="22">
        <f t="shared" si="26"/>
        <v>412.28585098014969</v>
      </c>
      <c r="AH50" s="11">
        <f t="shared" si="27"/>
        <v>41.767824291369514</v>
      </c>
      <c r="AI50" s="11">
        <f t="shared" si="28"/>
        <v>8.0250053992919064</v>
      </c>
      <c r="AJ50" s="16"/>
      <c r="AK50" s="5">
        <f t="shared" si="29"/>
        <v>0.13656763928156276</v>
      </c>
      <c r="AL50" s="5">
        <f t="shared" si="30"/>
        <v>0.13661746187639676</v>
      </c>
      <c r="AM50" s="45">
        <f t="shared" si="31"/>
        <v>0.27247545606653484</v>
      </c>
      <c r="AN50" s="5">
        <f t="shared" si="32"/>
        <v>1.1556348682512909</v>
      </c>
      <c r="AO50" s="5">
        <f t="shared" si="33"/>
        <v>0.24655001646245234</v>
      </c>
    </row>
    <row r="51" spans="1:44">
      <c r="A51" s="12"/>
      <c r="B51" s="13"/>
      <c r="C51" s="11"/>
      <c r="D51" s="11"/>
      <c r="E51" s="517"/>
      <c r="F51" s="517"/>
      <c r="G51" s="521" t="s">
        <v>555</v>
      </c>
      <c r="H51" s="522">
        <v>8</v>
      </c>
      <c r="K51" s="301"/>
      <c r="L51" s="5"/>
      <c r="M51" s="5"/>
      <c r="N51" s="5"/>
      <c r="O51" s="45"/>
      <c r="P51" s="5"/>
      <c r="Q51" s="5"/>
      <c r="R51" s="5"/>
      <c r="S51" s="2"/>
      <c r="T51" s="5"/>
      <c r="U51" s="5"/>
      <c r="V51" s="5"/>
      <c r="W51" s="5"/>
      <c r="X51" s="5"/>
      <c r="Y51" s="5"/>
      <c r="Z51" s="11"/>
      <c r="AA51" s="5"/>
      <c r="AB51" s="5"/>
    </row>
    <row r="52" spans="1:44">
      <c r="E52" s="517"/>
      <c r="F52" s="517"/>
      <c r="G52" s="521" t="s">
        <v>557</v>
      </c>
      <c r="H52" s="522">
        <v>15</v>
      </c>
      <c r="I52" s="531">
        <f>1.2/(K6*9.81)</f>
        <v>1.4141521274151065</v>
      </c>
      <c r="J52" s="530" t="s">
        <v>559</v>
      </c>
      <c r="K52" s="530"/>
      <c r="S52" s="291">
        <f>S47/60</f>
        <v>3.5958966065284534</v>
      </c>
      <c r="T52" s="292" t="s">
        <v>225</v>
      </c>
      <c r="U52" s="292"/>
      <c r="V52" s="292"/>
      <c r="W52" s="292"/>
      <c r="X52" s="292"/>
      <c r="AB52" s="1"/>
    </row>
    <row r="53" spans="1:44">
      <c r="E53" s="517"/>
      <c r="F53" s="517"/>
      <c r="G53" s="521" t="s">
        <v>558</v>
      </c>
      <c r="H53" s="522">
        <v>10</v>
      </c>
      <c r="I53" s="531">
        <f>1.1/(K6*9.81)</f>
        <v>1.2963061167971812</v>
      </c>
      <c r="J53" s="530" t="s">
        <v>556</v>
      </c>
      <c r="R53" s="17"/>
      <c r="AB53" s="7"/>
    </row>
    <row r="54" spans="1:44" ht="18">
      <c r="A54" s="297" t="s">
        <v>226</v>
      </c>
      <c r="G54" s="535" t="s">
        <v>561</v>
      </c>
      <c r="H54" s="517"/>
      <c r="I54" s="517"/>
      <c r="J54" s="517"/>
      <c r="R54" s="17"/>
      <c r="AB54" s="7"/>
      <c r="AQ54" s="197" t="s">
        <v>483</v>
      </c>
    </row>
    <row r="55" spans="1:44">
      <c r="AR55" s="492" t="s">
        <v>484</v>
      </c>
    </row>
    <row r="56" spans="1:44">
      <c r="A56" s="2"/>
      <c r="B56" s="2"/>
      <c r="C56" s="1" t="s">
        <v>138</v>
      </c>
      <c r="D56" s="1" t="s">
        <v>139</v>
      </c>
      <c r="E56" s="1" t="s">
        <v>138</v>
      </c>
      <c r="F56" s="1" t="s">
        <v>139</v>
      </c>
      <c r="G56" s="1" t="s">
        <v>20</v>
      </c>
      <c r="H56" s="1" t="s">
        <v>21</v>
      </c>
      <c r="I56" s="1" t="s">
        <v>22</v>
      </c>
      <c r="J56" s="1" t="s">
        <v>22</v>
      </c>
      <c r="K56" s="1" t="s">
        <v>23</v>
      </c>
      <c r="L56" s="1" t="s">
        <v>23</v>
      </c>
      <c r="M56" s="267" t="s">
        <v>198</v>
      </c>
      <c r="N56" s="267" t="s">
        <v>208</v>
      </c>
      <c r="O56" s="1" t="s">
        <v>138</v>
      </c>
      <c r="P56" s="1" t="s">
        <v>139</v>
      </c>
      <c r="R56" s="2"/>
      <c r="Y56" s="1" t="s">
        <v>59</v>
      </c>
      <c r="Z56" s="1" t="s">
        <v>16</v>
      </c>
      <c r="AA56" s="1" t="s">
        <v>17</v>
      </c>
      <c r="AB56" s="1" t="s">
        <v>18</v>
      </c>
      <c r="AC56" s="1" t="s">
        <v>19</v>
      </c>
      <c r="AD56" s="1"/>
      <c r="AE56" s="1" t="s">
        <v>59</v>
      </c>
      <c r="AF56" s="1" t="s">
        <v>16</v>
      </c>
      <c r="AG56" s="1" t="s">
        <v>17</v>
      </c>
      <c r="AH56" s="1" t="s">
        <v>18</v>
      </c>
      <c r="AI56" s="1" t="s">
        <v>19</v>
      </c>
      <c r="AJ56" s="1"/>
      <c r="AK56" s="1" t="s">
        <v>24</v>
      </c>
      <c r="AL56" s="1" t="s">
        <v>25</v>
      </c>
      <c r="AM56" s="1" t="s">
        <v>26</v>
      </c>
      <c r="AN56" s="1" t="s">
        <v>27</v>
      </c>
      <c r="AO56" s="1" t="s">
        <v>178</v>
      </c>
      <c r="AR56" s="492" t="s">
        <v>485</v>
      </c>
    </row>
    <row r="57" spans="1:44" ht="14.25">
      <c r="A57" s="3" t="s">
        <v>28</v>
      </c>
      <c r="B57" s="3"/>
      <c r="C57" s="1" t="s">
        <v>29</v>
      </c>
      <c r="D57" s="1" t="s">
        <v>29</v>
      </c>
      <c r="E57" s="1" t="s">
        <v>30</v>
      </c>
      <c r="F57" s="1" t="s">
        <v>30</v>
      </c>
      <c r="G57" s="1" t="s">
        <v>31</v>
      </c>
      <c r="H57" s="1" t="s">
        <v>32</v>
      </c>
      <c r="I57" s="1" t="s">
        <v>33</v>
      </c>
      <c r="J57" s="1" t="s">
        <v>33</v>
      </c>
      <c r="K57" s="1" t="s">
        <v>34</v>
      </c>
      <c r="L57" s="1" t="s">
        <v>34</v>
      </c>
      <c r="M57" s="15" t="s">
        <v>222</v>
      </c>
      <c r="N57" s="267" t="s">
        <v>209</v>
      </c>
      <c r="O57" s="270" t="s">
        <v>203</v>
      </c>
      <c r="R57" s="2"/>
      <c r="Y57" s="1" t="s">
        <v>61</v>
      </c>
      <c r="Z57" s="1" t="s">
        <v>54</v>
      </c>
      <c r="AA57" s="1" t="s">
        <v>54</v>
      </c>
      <c r="AB57" s="1" t="s">
        <v>57</v>
      </c>
      <c r="AC57" s="1" t="s">
        <v>60</v>
      </c>
      <c r="AD57" s="1"/>
      <c r="AE57" s="1" t="s">
        <v>61</v>
      </c>
      <c r="AF57" s="1" t="s">
        <v>54</v>
      </c>
      <c r="AG57" s="1" t="s">
        <v>54</v>
      </c>
      <c r="AH57" s="1" t="s">
        <v>57</v>
      </c>
      <c r="AI57" s="1" t="s">
        <v>60</v>
      </c>
      <c r="AJ57" s="1"/>
      <c r="AK57" s="9" t="s">
        <v>35</v>
      </c>
      <c r="AL57" s="9" t="s">
        <v>36</v>
      </c>
      <c r="AM57" s="9" t="s">
        <v>37</v>
      </c>
      <c r="AN57" s="1" t="s">
        <v>38</v>
      </c>
      <c r="AO57" s="1" t="s">
        <v>218</v>
      </c>
    </row>
    <row r="58" spans="1:44">
      <c r="A58" s="2"/>
      <c r="B58" s="2"/>
      <c r="C58" s="1" t="s">
        <v>39</v>
      </c>
      <c r="D58" s="1" t="s">
        <v>39</v>
      </c>
      <c r="E58" s="1" t="s">
        <v>40</v>
      </c>
      <c r="F58" s="1" t="s">
        <v>40</v>
      </c>
      <c r="G58" s="1" t="s">
        <v>40</v>
      </c>
      <c r="H58" s="1" t="s">
        <v>41</v>
      </c>
      <c r="I58" s="1" t="s">
        <v>42</v>
      </c>
      <c r="J58" s="1" t="s">
        <v>42</v>
      </c>
      <c r="K58" s="1" t="s">
        <v>43</v>
      </c>
      <c r="L58" s="1" t="s">
        <v>43</v>
      </c>
      <c r="M58" s="267" t="s">
        <v>200</v>
      </c>
      <c r="N58" s="267" t="s">
        <v>210</v>
      </c>
      <c r="O58" s="267" t="s">
        <v>200</v>
      </c>
      <c r="P58" s="267" t="s">
        <v>200</v>
      </c>
      <c r="Q58" s="274" t="s">
        <v>199</v>
      </c>
      <c r="R58" s="271" t="s">
        <v>219</v>
      </c>
      <c r="S58" s="278" t="s">
        <v>205</v>
      </c>
      <c r="Y58" s="15" t="s">
        <v>45</v>
      </c>
      <c r="Z58" s="15" t="s">
        <v>46</v>
      </c>
      <c r="AA58" s="15" t="s">
        <v>63</v>
      </c>
      <c r="AB58" s="15" t="s">
        <v>47</v>
      </c>
      <c r="AC58" s="15" t="s">
        <v>63</v>
      </c>
      <c r="AD58" s="1"/>
      <c r="AE58" s="15" t="s">
        <v>45</v>
      </c>
      <c r="AF58" s="15" t="s">
        <v>46</v>
      </c>
      <c r="AG58" s="15" t="s">
        <v>63</v>
      </c>
      <c r="AH58" s="15" t="s">
        <v>47</v>
      </c>
      <c r="AI58" s="15" t="s">
        <v>63</v>
      </c>
      <c r="AJ58" s="15"/>
      <c r="AK58" s="9" t="s">
        <v>44</v>
      </c>
      <c r="AL58" s="9" t="s">
        <v>44</v>
      </c>
      <c r="AM58" s="9" t="s">
        <v>44</v>
      </c>
      <c r="AN58" s="9" t="s">
        <v>44</v>
      </c>
      <c r="AO58" s="9" t="s">
        <v>44</v>
      </c>
    </row>
    <row r="59" spans="1:44" ht="13.5" thickBot="1">
      <c r="A59" s="13" t="s">
        <v>48</v>
      </c>
      <c r="B59" s="13"/>
      <c r="C59" s="2"/>
      <c r="D59" s="2"/>
      <c r="E59" s="2"/>
      <c r="F59" s="2"/>
      <c r="G59" s="2"/>
      <c r="H59" s="4"/>
      <c r="I59" s="2"/>
      <c r="K59" s="2"/>
      <c r="M59" s="2"/>
      <c r="Q59" s="275" t="s">
        <v>206</v>
      </c>
      <c r="R59" s="271" t="s">
        <v>204</v>
      </c>
      <c r="S59" s="278" t="s">
        <v>207</v>
      </c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5"/>
    </row>
    <row r="60" spans="1:44" ht="13.5" thickBot="1">
      <c r="A60" s="13" t="s">
        <v>49</v>
      </c>
      <c r="B60" s="13"/>
      <c r="C60" s="6">
        <v>1</v>
      </c>
      <c r="D60" s="6">
        <v>0</v>
      </c>
      <c r="E60" s="16">
        <f t="shared" ref="E60:E67" si="99">((C60+$K$8)^3-$K$8^3)*$K$4/3+((C60+$K$8)^2)*($K$5*$K$10)+((C60+$K$8)^2-$K$8^2)*$K$6+((C60+$K$8)^2-$K$8^2)*$K$7</f>
        <v>0.37314292521751707</v>
      </c>
      <c r="F60" s="16">
        <f t="shared" ref="F60:F67" si="100">((D60+$K$8)^3-$K$8^3)*$K$4/3+((D60+$K$8)^2)*($K$5*$K$10)+((D60+$K$8)^2-$K$8^2)*$K$6+((D60+$K$8)^2-$K$8^2)*$K$7</f>
        <v>5.1584528572282964E-4</v>
      </c>
      <c r="G60" s="22">
        <f t="shared" ref="G60:G84" si="101">$C$12+2*E60+2*F60</f>
        <v>578.16731754100647</v>
      </c>
      <c r="H60" s="520">
        <f>H23</f>
        <v>7</v>
      </c>
      <c r="I60" s="5">
        <f t="shared" ref="I60:I84" si="102">(H60*2*PI()/60)^2*(C60+$K$8)/9.8</f>
        <v>0.10444655858376321</v>
      </c>
      <c r="J60" s="5">
        <f>(H60*2*PI()/60)^2*(D60+$K$8)/9.8</f>
        <v>4.9615423022155679E-2</v>
      </c>
      <c r="K60" s="16">
        <f t="shared" ref="K60:K84" si="103">(((C60-$K$10+$K$8)^2-K$8^2)*K$4/2+((C60+$K$8)^2-(C60-$K$10+$K$8)^2)*$K$5/2+(C60+$K$8)*K$6+(C60-$K$10+$K$8)*K$7)*(H60*2*PI()/60)^2</f>
        <v>6.3720242911558825E-2</v>
      </c>
      <c r="L60" s="16">
        <v>0</v>
      </c>
      <c r="M60" s="5">
        <f t="shared" ref="M60:M84" si="104">ATAN(2*$C$17/($K$9*H60*2*PI()/60))*180/PI()</f>
        <v>1.3242046600120025</v>
      </c>
      <c r="N60" s="279"/>
      <c r="O60" s="280">
        <f>(180/PI())*ATAN(($E$17*$H$17) / $G60 /($H60*2*PI()/60)^2)*(C60/$K$9)</f>
        <v>0.48707021853825344</v>
      </c>
      <c r="P60" s="280">
        <f>(180/PI())*ATAN(($E$17*$H$17) / $G60 /($H60*2*PI()/60)^2)*(D60/$K$9)</f>
        <v>0</v>
      </c>
      <c r="R60" s="273">
        <f>C60/C$17</f>
        <v>151.51515151515153</v>
      </c>
      <c r="S60" s="277">
        <f>SUM(R$60:R60)/60</f>
        <v>2.5252525252525255</v>
      </c>
      <c r="Y60" s="23" t="s">
        <v>58</v>
      </c>
      <c r="AE60" s="2"/>
      <c r="AF60" s="5"/>
      <c r="AG60" s="5"/>
      <c r="AH60" s="5"/>
      <c r="AI60" s="11"/>
      <c r="AJ60" s="2"/>
      <c r="AL60" s="11"/>
      <c r="AM60" s="11"/>
      <c r="AN60" s="5"/>
      <c r="AO60" s="5"/>
    </row>
    <row r="61" spans="1:44">
      <c r="A61" s="14"/>
      <c r="B61" s="14"/>
      <c r="C61" s="6">
        <f>C60+1</f>
        <v>2</v>
      </c>
      <c r="D61" s="6">
        <f>D60</f>
        <v>0</v>
      </c>
      <c r="E61" s="16">
        <f t="shared" si="99"/>
        <v>1.018983167455636</v>
      </c>
      <c r="F61" s="16">
        <f t="shared" si="100"/>
        <v>5.1584528572282964E-4</v>
      </c>
      <c r="G61" s="22">
        <f t="shared" si="101"/>
        <v>579.45899802548274</v>
      </c>
      <c r="H61" s="149">
        <f t="shared" ref="H61:H67" si="105">G60*H60/G61</f>
        <v>6.9843961981397404</v>
      </c>
      <c r="I61" s="5">
        <f t="shared" si="102"/>
        <v>0.15856838913705057</v>
      </c>
      <c r="J61" s="5">
        <f>(H61*2*PI()/60)^2*(D61+$K$8)/9.8</f>
        <v>4.9394472635923815E-2</v>
      </c>
      <c r="K61" s="16">
        <f t="shared" si="103"/>
        <v>0.13196737634386774</v>
      </c>
      <c r="L61" s="16">
        <v>0</v>
      </c>
      <c r="M61" s="5">
        <f t="shared" si="104"/>
        <v>1.3271620015893884</v>
      </c>
      <c r="N61" s="279"/>
      <c r="O61" s="280">
        <f t="shared" ref="O61:O66" si="106">(180/PI())*ATAN(($E$17*$H$17) / $G61 /($H61*2*PI()/60)^2)*(C61/$K$9)</f>
        <v>0.97631669513047925</v>
      </c>
      <c r="P61" s="280">
        <f t="shared" ref="P61:P66" si="107">(180/PI())*ATAN(($E$17*$H$17) / $G61 /($H61*2*PI()/60)^2)*(D61/$K$9)</f>
        <v>0</v>
      </c>
      <c r="R61" s="273">
        <f>(C61-C60)/C$17</f>
        <v>151.51515151515153</v>
      </c>
      <c r="S61" s="277">
        <f>SUM(R$60:R61)/60</f>
        <v>5.0505050505050511</v>
      </c>
      <c r="AE61" s="2"/>
      <c r="AF61" s="5"/>
      <c r="AG61" s="5"/>
      <c r="AH61" s="5"/>
      <c r="AI61" s="5"/>
      <c r="AJ61" s="2"/>
      <c r="AK61" s="5"/>
      <c r="AL61" s="5"/>
      <c r="AM61" s="5"/>
      <c r="AN61" s="5"/>
      <c r="AO61" s="5"/>
    </row>
    <row r="62" spans="1:44">
      <c r="A62" s="14"/>
      <c r="B62" s="14"/>
      <c r="C62" s="6">
        <f>C61+2</f>
        <v>4</v>
      </c>
      <c r="D62" s="6">
        <f>D61</f>
        <v>0</v>
      </c>
      <c r="E62" s="16">
        <f t="shared" si="99"/>
        <v>3.1575031388508474</v>
      </c>
      <c r="F62" s="16">
        <f t="shared" si="100"/>
        <v>5.1584528572282964E-4</v>
      </c>
      <c r="G62" s="22">
        <f t="shared" si="101"/>
        <v>583.73603796827319</v>
      </c>
      <c r="H62" s="149">
        <f t="shared" si="105"/>
        <v>6.9332214554946043</v>
      </c>
      <c r="I62" s="5">
        <f t="shared" si="102"/>
        <v>0.26383317816105134</v>
      </c>
      <c r="J62" s="5">
        <f t="shared" ref="J62:J84" si="108">(H62*2*PI()/60)^2*(D62+$K$8)/9.8</f>
        <v>4.8673296765943168E-2</v>
      </c>
      <c r="K62" s="16">
        <f t="shared" si="103"/>
        <v>0.2704780981700845</v>
      </c>
      <c r="L62" s="16">
        <v>0</v>
      </c>
      <c r="M62" s="5">
        <f t="shared" si="104"/>
        <v>1.3369543634645333</v>
      </c>
      <c r="N62" s="279"/>
      <c r="O62" s="280">
        <f t="shared" si="106"/>
        <v>1.9670455282276522</v>
      </c>
      <c r="P62" s="280">
        <f t="shared" si="107"/>
        <v>0</v>
      </c>
      <c r="R62" s="273">
        <f>(C62-C61)/C$17</f>
        <v>303.03030303030306</v>
      </c>
      <c r="S62" s="277">
        <f>SUM(R$60:R62)/60</f>
        <v>10.101010101010102</v>
      </c>
      <c r="AE62" s="2"/>
      <c r="AG62" s="5"/>
      <c r="AH62" s="5"/>
      <c r="AI62" s="5"/>
      <c r="AJ62" s="2"/>
      <c r="AK62" s="5"/>
      <c r="AL62" s="5"/>
      <c r="AM62" s="5"/>
      <c r="AN62" s="5"/>
      <c r="AO62" s="5"/>
    </row>
    <row r="63" spans="1:44">
      <c r="A63" s="13" t="s">
        <v>50</v>
      </c>
      <c r="B63" s="13"/>
      <c r="C63" s="6">
        <f>C62</f>
        <v>4</v>
      </c>
      <c r="D63" s="6">
        <v>1</v>
      </c>
      <c r="E63" s="16">
        <f t="shared" si="99"/>
        <v>3.1575031388508474</v>
      </c>
      <c r="F63" s="16">
        <f t="shared" si="100"/>
        <v>0.37314292521751707</v>
      </c>
      <c r="G63" s="22">
        <f t="shared" si="101"/>
        <v>584.48129212813672</v>
      </c>
      <c r="H63" s="149">
        <f t="shared" si="105"/>
        <v>6.9243811175735246</v>
      </c>
      <c r="I63" s="5">
        <f t="shared" si="102"/>
        <v>0.26316079592282221</v>
      </c>
      <c r="J63" s="5">
        <f t="shared" si="108"/>
        <v>0.10220213816437715</v>
      </c>
      <c r="K63" s="16">
        <f t="shared" si="103"/>
        <v>0.26978878126799055</v>
      </c>
      <c r="L63" s="16">
        <f>(((D63-$K$10+$K$8)^2-K$8^2)*K$4/2+((D63+$K$8)^2-(D63-$K$10+$K$8)^2)*$K$5/2+(D63+$K$8)*K$6+(D63-$K$10+$K$8)*K$7)*(H63*2*PI()/60)^2</f>
        <v>6.2350977937603289E-2</v>
      </c>
      <c r="M63" s="5">
        <f t="shared" si="104"/>
        <v>1.3386606286403868</v>
      </c>
      <c r="N63" s="279"/>
      <c r="O63" s="280">
        <f t="shared" si="106"/>
        <v>1.9695567747423557</v>
      </c>
      <c r="P63" s="280">
        <f t="shared" si="107"/>
        <v>0.49238919368558892</v>
      </c>
      <c r="R63" s="273">
        <f>(D63-D62)/C$17</f>
        <v>151.51515151515153</v>
      </c>
      <c r="S63" s="277">
        <f>SUM(R$60:R63)/60</f>
        <v>12.626262626262626</v>
      </c>
      <c r="AE63" s="2"/>
      <c r="AF63" s="5"/>
      <c r="AG63" s="5"/>
      <c r="AH63" s="5"/>
      <c r="AI63" s="5"/>
      <c r="AJ63" s="2"/>
      <c r="AK63" s="5"/>
      <c r="AL63" s="5"/>
      <c r="AM63" s="5"/>
      <c r="AN63" s="5"/>
      <c r="AO63" s="5"/>
    </row>
    <row r="64" spans="1:44">
      <c r="A64" s="14"/>
      <c r="B64" s="14"/>
      <c r="C64" s="6">
        <f>C63</f>
        <v>4</v>
      </c>
      <c r="D64" s="6">
        <f>D63+1</f>
        <v>2</v>
      </c>
      <c r="E64" s="16">
        <f t="shared" si="99"/>
        <v>3.1575031388508474</v>
      </c>
      <c r="F64" s="16">
        <f t="shared" si="100"/>
        <v>1.018983167455636</v>
      </c>
      <c r="G64" s="22">
        <f t="shared" si="101"/>
        <v>585.77297261261299</v>
      </c>
      <c r="H64" s="149">
        <f t="shared" si="105"/>
        <v>6.9091122533977769</v>
      </c>
      <c r="I64" s="5">
        <f t="shared" si="102"/>
        <v>0.2620014905127151</v>
      </c>
      <c r="J64" s="5">
        <f t="shared" si="108"/>
        <v>0.1551684340772464</v>
      </c>
      <c r="K64" s="16">
        <f t="shared" si="103"/>
        <v>0.2686002775145595</v>
      </c>
      <c r="L64" s="16">
        <f>(((D64-$K$10+$K$8)^2-K$8^2)*K$4/2+((D64+$K$8)^2-(D64-$K$10+$K$8)^2)*$K$5/2+(D64+$K$8)*K$6+(D64-$K$10+$K$8)*K$7)*(H64*2*PI()/60)^2</f>
        <v>0.12913778873582551</v>
      </c>
      <c r="M64" s="5">
        <f t="shared" si="104"/>
        <v>1.3416179354953548</v>
      </c>
      <c r="N64" s="279"/>
      <c r="O64" s="280">
        <f t="shared" si="106"/>
        <v>1.9739092866539398</v>
      </c>
      <c r="P64" s="280">
        <f t="shared" si="107"/>
        <v>0.98695464332696992</v>
      </c>
      <c r="R64" s="273">
        <f>(D64-D63)/C$17</f>
        <v>151.51515151515153</v>
      </c>
      <c r="S64" s="277">
        <f>SUM(R$60:R64)/60</f>
        <v>15.151515151515152</v>
      </c>
      <c r="AE64" s="2"/>
      <c r="AF64" s="5"/>
      <c r="AG64" s="5"/>
      <c r="AH64" s="5"/>
      <c r="AI64" s="5"/>
      <c r="AJ64" s="2"/>
      <c r="AK64" s="5"/>
      <c r="AL64" s="5"/>
      <c r="AM64" s="5"/>
      <c r="AN64" s="5"/>
      <c r="AO64" s="5"/>
    </row>
    <row r="65" spans="1:41">
      <c r="A65" s="14"/>
      <c r="B65" s="14"/>
      <c r="C65" s="6">
        <f>C64</f>
        <v>4</v>
      </c>
      <c r="D65" s="6">
        <f>D64+2</f>
        <v>4</v>
      </c>
      <c r="E65" s="16">
        <f t="shared" si="99"/>
        <v>3.1575031388508474</v>
      </c>
      <c r="F65" s="16">
        <f t="shared" si="100"/>
        <v>3.1575031388508474</v>
      </c>
      <c r="G65" s="22">
        <f t="shared" si="101"/>
        <v>590.05001255540344</v>
      </c>
      <c r="H65" s="149">
        <f t="shared" si="105"/>
        <v>6.8590308222509035</v>
      </c>
      <c r="I65" s="5">
        <f t="shared" si="102"/>
        <v>0.25821696562294383</v>
      </c>
      <c r="J65" s="5">
        <f t="shared" si="108"/>
        <v>0.25821696562294383</v>
      </c>
      <c r="K65" s="16">
        <f t="shared" si="103"/>
        <v>0.26472043532868467</v>
      </c>
      <c r="L65" s="16">
        <f>(((D65-$K$10+$K$8)^2-K$8^2)*K$4/2+((D65+$K$8)^2-(D65-$K$10+$K$8)^2)*$K$5/2+(D65+$K$8)*K$6+(D65-$K$10+$K$8)*K$7)*(H65*2*PI()/60)^2</f>
        <v>0.26472043532868467</v>
      </c>
      <c r="M65" s="5">
        <f t="shared" si="104"/>
        <v>1.3514101818480142</v>
      </c>
      <c r="N65" s="279"/>
      <c r="O65" s="280">
        <f t="shared" si="106"/>
        <v>1.9883214106590854</v>
      </c>
      <c r="P65" s="280">
        <f t="shared" si="107"/>
        <v>1.9883214106590854</v>
      </c>
      <c r="R65" s="273">
        <f>(D65-D64)/C$17</f>
        <v>303.03030303030306</v>
      </c>
      <c r="S65" s="277">
        <f>SUM(R$60:R65)/60</f>
        <v>20.202020202020204</v>
      </c>
      <c r="AE65" s="2"/>
      <c r="AF65" s="5"/>
      <c r="AG65" s="5"/>
      <c r="AH65" s="11"/>
      <c r="AI65" s="5"/>
      <c r="AJ65" s="5"/>
      <c r="AK65" s="5"/>
      <c r="AL65" s="5"/>
      <c r="AM65" s="5"/>
      <c r="AN65" s="5"/>
      <c r="AO65" s="5"/>
    </row>
    <row r="66" spans="1:41">
      <c r="A66" s="13" t="s">
        <v>49</v>
      </c>
      <c r="B66" s="13"/>
      <c r="C66" s="6">
        <f>C65+3</f>
        <v>7</v>
      </c>
      <c r="D66" s="6">
        <f>D65</f>
        <v>4</v>
      </c>
      <c r="E66" s="16">
        <f t="shared" si="99"/>
        <v>8.5843818132410998</v>
      </c>
      <c r="F66" s="16">
        <f t="shared" si="100"/>
        <v>3.1575031388508474</v>
      </c>
      <c r="G66" s="22">
        <f t="shared" si="101"/>
        <v>600.90376990418395</v>
      </c>
      <c r="H66" s="149">
        <f t="shared" si="105"/>
        <v>6.7351403427413663</v>
      </c>
      <c r="I66" s="5">
        <f t="shared" si="102"/>
        <v>0.40125417658261792</v>
      </c>
      <c r="J66" s="5">
        <f t="shared" si="108"/>
        <v>0.24897317857104065</v>
      </c>
      <c r="K66" s="16">
        <f t="shared" si="103"/>
        <v>0.46672018574757407</v>
      </c>
      <c r="L66" s="16">
        <f>(((D66-$K$10+$K$8)^2-K$8^2)*K$4/2+((D66+$K$8)^2-(D66-$K$10+$K$8)^2)*$K$5/2+(D66+$K$8)*K$6+(D66-$K$10+$K$8)*K$7)*(H66*2*PI()/60)^2</f>
        <v>0.25524383364001535</v>
      </c>
      <c r="M66" s="5">
        <f t="shared" si="104"/>
        <v>1.3762594106774237</v>
      </c>
      <c r="N66" s="279"/>
      <c r="O66" s="280">
        <f t="shared" si="106"/>
        <v>3.5435657632926509</v>
      </c>
      <c r="P66" s="280">
        <f t="shared" si="107"/>
        <v>2.0248947218815152</v>
      </c>
      <c r="R66" s="273">
        <f>(C66-C65)/C$17</f>
        <v>454.54545454545456</v>
      </c>
      <c r="S66" s="277">
        <f>SUM(R$60:R66)/60</f>
        <v>27.777777777777779</v>
      </c>
      <c r="AE66" s="2"/>
      <c r="AF66" s="5"/>
      <c r="AG66" s="5"/>
      <c r="AH66" s="11"/>
      <c r="AI66" s="5"/>
      <c r="AJ66" s="5"/>
      <c r="AK66" s="5"/>
      <c r="AL66" s="5"/>
      <c r="AM66" s="5"/>
      <c r="AN66" s="5"/>
      <c r="AO66" s="5"/>
    </row>
    <row r="67" spans="1:41" ht="13.5" thickBot="1">
      <c r="A67" s="13" t="s">
        <v>50</v>
      </c>
      <c r="B67" s="13"/>
      <c r="C67" s="6">
        <f>C66</f>
        <v>7</v>
      </c>
      <c r="D67" s="6">
        <f>D66+3</f>
        <v>7</v>
      </c>
      <c r="E67" s="16">
        <f t="shared" si="99"/>
        <v>8.5843818132410998</v>
      </c>
      <c r="F67" s="16">
        <f t="shared" si="100"/>
        <v>8.5843818132410998</v>
      </c>
      <c r="G67" s="22">
        <f t="shared" si="101"/>
        <v>611.75752725296445</v>
      </c>
      <c r="H67" s="149">
        <f t="shared" si="105"/>
        <v>6.6156459749019501</v>
      </c>
      <c r="I67" s="5">
        <f t="shared" si="102"/>
        <v>0.38714243719139368</v>
      </c>
      <c r="J67" s="5">
        <f t="shared" si="108"/>
        <v>0.38714243719139368</v>
      </c>
      <c r="K67" s="16">
        <f t="shared" si="103"/>
        <v>0.45030606718066762</v>
      </c>
      <c r="L67" s="16">
        <f>(((D67-$K$10+$K$8)^2-K$8^2)*K$4/2+((D67+$K$8)^2-(D67-$K$10+$K$8)^2)*$K$5/2+(D67+$K$8)*K$6+(D67-$K$10+$K$8)*K$7)*(H67*2*PI()/60)^2</f>
        <v>0.45030606718066762</v>
      </c>
      <c r="M67" s="5">
        <f t="shared" si="104"/>
        <v>1.4011081216790808</v>
      </c>
      <c r="N67" s="272"/>
      <c r="O67" s="16">
        <f>(180/PI())*ATAN(($E$17*$H$17) / $G67 /($H67*2*PI()/60)^2)*(C67/$K$9)</f>
        <v>3.6075689484065068</v>
      </c>
      <c r="P67" s="16">
        <f>(180/PI())*ATAN(($E$17*$H$17) / $G67 /($H67*2*PI()/60)^2)*(D67/$K$9)</f>
        <v>3.6075689484065068</v>
      </c>
      <c r="R67" s="273">
        <f>(D67-D66)/C$17</f>
        <v>454.54545454545456</v>
      </c>
      <c r="S67" s="277">
        <f>SUM(R$60:R67)/60</f>
        <v>35.353535353535356</v>
      </c>
      <c r="AE67" s="2"/>
      <c r="AF67" s="5"/>
      <c r="AG67" s="5"/>
      <c r="AH67" s="11"/>
      <c r="AI67" s="5"/>
      <c r="AJ67" s="5"/>
      <c r="AK67" s="5"/>
      <c r="AL67" s="5"/>
      <c r="AM67" s="5"/>
      <c r="AN67" s="5"/>
      <c r="AO67" s="5"/>
    </row>
    <row r="68" spans="1:41" ht="13.5" thickBot="1">
      <c r="A68" s="13" t="s">
        <v>70</v>
      </c>
      <c r="B68" s="13"/>
      <c r="C68" s="46">
        <f>C67+$K$10</f>
        <v>10</v>
      </c>
      <c r="D68" s="46">
        <f>D67+$K$10</f>
        <v>10</v>
      </c>
      <c r="E68" s="16">
        <f t="shared" ref="E68:E84" si="109">((C68+$K$8-$K$10)^3-$K$8^3)*$K$4/3+((C68+$K$8)^3-(C68+$K$8-$K$10)^3)*$K$5/3+((C68+$K$8)^2-$K$8^2)*$K$6+((C68+$K$8-$K$10)^2-$K$8^2)*$K$7</f>
        <v>13.482343094673663</v>
      </c>
      <c r="F68" s="16">
        <f t="shared" ref="F68:F83" si="110">((D68+$K$8-$K$10)^3-$K$8^3)*$K$4/3+((D68+$K$8)^3-(D68+$K$8-$K$10)^3)*$K$5/3+((D68+$K$8)^2-$K$8^2)*$K$6+((D68+$K$8-$K$10)^2-$K$8^2)*$K$7</f>
        <v>13.482343094673663</v>
      </c>
      <c r="G68" s="22">
        <f t="shared" si="101"/>
        <v>631.34937237869451</v>
      </c>
      <c r="H68" s="520">
        <f>H31</f>
        <v>14</v>
      </c>
      <c r="I68" s="5">
        <f t="shared" si="102"/>
        <v>2.3917071145529243</v>
      </c>
      <c r="J68" s="5">
        <f t="shared" si="108"/>
        <v>2.3917071145529243</v>
      </c>
      <c r="K68" s="16">
        <f t="shared" si="103"/>
        <v>2.996113249790886</v>
      </c>
      <c r="L68" s="16">
        <f t="shared" ref="L68:L84" si="111">(((D68-$K$10+$K$8)^2-K$8^2)*K$4/2+((D68+$K$8)^2-(D68-$K$10+$K$8)^2)*$K$5/2+(D68+$K$8)*K$6+(D68-$K$10+$K$8)*K$7)*(H68*2*PI()/60)^2</f>
        <v>2.996113249790886</v>
      </c>
      <c r="M68" s="5">
        <f t="shared" si="104"/>
        <v>0.66219075765535618</v>
      </c>
      <c r="N68" s="272"/>
      <c r="O68" s="16">
        <f>(180/PI())*ATAN(($E$17*$H$17) / $G68 /($H68*2*PI()/60)^2)*(AB68/$K$9)</f>
        <v>0.99470437838812609</v>
      </c>
      <c r="P68" s="16">
        <f>(180/PI())*ATAN(($E$17*$H$17) / $G68 /($H68*2*PI()/60)^2)*(AH68/$K$9)</f>
        <v>0.99470437838812609</v>
      </c>
      <c r="Q68" s="276"/>
      <c r="R68" s="276">
        <f>((G68*H68-G67*H67)*2*PI()/60)/($E$17*$H$17)</f>
        <v>243.89362322989575</v>
      </c>
      <c r="S68" s="277">
        <f>SUM(R$60:R68)/60</f>
        <v>39.418429074033618</v>
      </c>
      <c r="Y68" s="5">
        <f t="shared" ref="Y68:Y84" si="112">(C68-$K$10)*$K$4+$K$10*$K$5+$K$6+$K$7</f>
        <v>0.15392999999999998</v>
      </c>
      <c r="Z68" s="5">
        <f t="shared" ref="Z68:Z84" si="113">(C68-$K$10)^2*$K$4/2+(C68^2-(C68-$K$10)^2)*$K$5/2+C68*$K$6+(C68-$K$10)*$K$7</f>
        <v>1.2546550000000001</v>
      </c>
      <c r="AA68" s="16">
        <f t="shared" ref="AA68:AA84" si="114">(C68-$K$10)^3*$K$4/3+(C68^3-(C68-$K$10)^3)*$K$5/3+C68^2*$K$6+(C68-$K$10)^2*$K$7</f>
        <v>11.191723333333332</v>
      </c>
      <c r="AB68" s="11">
        <f t="shared" ref="AB68:AB84" si="115">AA68/Z68</f>
        <v>8.9201599908607001</v>
      </c>
      <c r="AC68" s="11">
        <f t="shared" ref="AC68:AC84" si="116">($K$9/AB68)*E68</f>
        <v>1.1774166922467253</v>
      </c>
      <c r="AD68" s="5"/>
      <c r="AE68" s="5">
        <f t="shared" ref="AE68:AE84" si="117">(D68-$K$10)*$K$4+$K$10*$K$5+$K$6+$K$7</f>
        <v>0.15392999999999998</v>
      </c>
      <c r="AF68" s="5">
        <f t="shared" ref="AF68:AF84" si="118">(D68-$K$10)^2*$K$4/2+(D68^2-(D68-$K$10)^2)*$K$5/2+D68*$K$6+(D68-$K$10)*$K$7</f>
        <v>1.2546550000000001</v>
      </c>
      <c r="AG68" s="22">
        <f t="shared" ref="AG68:AG84" si="119">(D68-$K$10)^3*$K$4/3+(D68^3-(D68-$K$10)^3)*$K$5/3+D68^2*$K$6+(D68-$K$10)^2*$K$7</f>
        <v>11.191723333333332</v>
      </c>
      <c r="AH68" s="11">
        <f t="shared" ref="AH68:AH84" si="120">AG68/AF68</f>
        <v>8.9201599908607001</v>
      </c>
      <c r="AI68" s="11">
        <f t="shared" ref="AI68:AI84" si="121">($K$9/AH68)*F68</f>
        <v>1.1774166922467253</v>
      </c>
      <c r="AJ68" s="16"/>
      <c r="AK68" s="5">
        <f t="shared" ref="AK68:AK84" si="122">SQRT($K$9/AB68)</f>
        <v>0.29551695753749607</v>
      </c>
      <c r="AL68" s="5">
        <f t="shared" ref="AL68:AL84" si="123">AK68*SQRT(1/(1-2*Z68^2/(($E$6+4*Y68)*AA68)))</f>
        <v>0.29558116096529902</v>
      </c>
      <c r="AM68" s="5">
        <f t="shared" ref="AM68:AM84" si="124">SQRT(($K$9/AB68)*(G68/$C$12))</f>
        <v>0.30900917335114791</v>
      </c>
      <c r="AN68" s="5">
        <f t="shared" ref="AN68:AN84" si="125">SQRT(G68/(G68-$C$12))</f>
        <v>3.4215445061188148</v>
      </c>
      <c r="AO68" s="5">
        <f t="shared" ref="AO68:AO84" si="126">($C$12+2*AC68)/($A$12+$P$12)-1</f>
        <v>0.21778407493152541</v>
      </c>
    </row>
    <row r="69" spans="1:41">
      <c r="A69" s="13" t="s">
        <v>49</v>
      </c>
      <c r="B69" s="13"/>
      <c r="C69" s="6">
        <f>C68+5</f>
        <v>15</v>
      </c>
      <c r="D69" s="6">
        <f>D68</f>
        <v>10</v>
      </c>
      <c r="E69" s="16">
        <f t="shared" si="109"/>
        <v>31.502520798117246</v>
      </c>
      <c r="F69" s="16">
        <f t="shared" si="110"/>
        <v>13.482343094673663</v>
      </c>
      <c r="G69" s="22">
        <f t="shared" si="101"/>
        <v>667.38972778558173</v>
      </c>
      <c r="H69" s="248">
        <f>G68*H68/G69</f>
        <v>13.243972517571432</v>
      </c>
      <c r="I69" s="5">
        <f t="shared" si="102"/>
        <v>3.1217492185406619</v>
      </c>
      <c r="J69" s="5">
        <f t="shared" si="108"/>
        <v>2.1403680812072818</v>
      </c>
      <c r="K69" s="16">
        <f t="shared" si="103"/>
        <v>4.2730239184481</v>
      </c>
      <c r="L69" s="16">
        <f t="shared" si="111"/>
        <v>2.6812585573352519</v>
      </c>
      <c r="M69" s="5">
        <f t="shared" si="104"/>
        <v>0.6999880228976989</v>
      </c>
      <c r="N69" s="279"/>
      <c r="O69" s="280">
        <f>(180/PI())*ATAN(($E$17*$H$17) / $G69 /($H69*2*PI()/60)^2)*(AB69/$K$9)</f>
        <v>1.5814414921278517</v>
      </c>
      <c r="P69" s="280">
        <f>(180/PI())*ATAN(($E$17*$H$17) / $G69 /($H69*2*PI()/60)^2)*(AH69/$K$9)</f>
        <v>1.0514866310675879</v>
      </c>
      <c r="R69" s="273">
        <f>(C69-C68)/C$17</f>
        <v>757.57575757575762</v>
      </c>
      <c r="S69" s="277">
        <f>SUM(R$60:R69)/60</f>
        <v>52.044691700296241</v>
      </c>
      <c r="Y69" s="5">
        <f t="shared" si="112"/>
        <v>0.17092999999999997</v>
      </c>
      <c r="Z69" s="5">
        <f t="shared" si="113"/>
        <v>2.066805</v>
      </c>
      <c r="AA69" s="16">
        <f t="shared" si="114"/>
        <v>27.728189999999998</v>
      </c>
      <c r="AB69" s="11">
        <f t="shared" si="115"/>
        <v>13.415968124714231</v>
      </c>
      <c r="AC69" s="11">
        <f t="shared" si="116"/>
        <v>1.8291981222380895</v>
      </c>
      <c r="AD69" s="5"/>
      <c r="AE69" s="5">
        <f t="shared" si="117"/>
        <v>0.15392999999999998</v>
      </c>
      <c r="AF69" s="5">
        <f t="shared" si="118"/>
        <v>1.2546550000000001</v>
      </c>
      <c r="AG69" s="22">
        <f t="shared" si="119"/>
        <v>11.191723333333332</v>
      </c>
      <c r="AH69" s="11">
        <f t="shared" si="120"/>
        <v>8.9201599908607001</v>
      </c>
      <c r="AI69" s="11">
        <f t="shared" si="121"/>
        <v>1.1774166922467253</v>
      </c>
      <c r="AJ69" s="16"/>
      <c r="AK69" s="5">
        <f t="shared" si="122"/>
        <v>0.24096708276516607</v>
      </c>
      <c r="AL69" s="5">
        <f t="shared" si="123"/>
        <v>0.24102441874095876</v>
      </c>
      <c r="AM69" s="5">
        <f t="shared" si="124"/>
        <v>0.25906071969462091</v>
      </c>
      <c r="AN69" s="5">
        <f t="shared" si="125"/>
        <v>2.7235889010027865</v>
      </c>
      <c r="AO69" s="5">
        <f t="shared" si="126"/>
        <v>0.22052213460598957</v>
      </c>
    </row>
    <row r="70" spans="1:41">
      <c r="A70" s="13" t="s">
        <v>50</v>
      </c>
      <c r="B70" s="13"/>
      <c r="C70" s="6">
        <f>C69</f>
        <v>15</v>
      </c>
      <c r="D70" s="6">
        <f>D69+5</f>
        <v>15</v>
      </c>
      <c r="E70" s="16">
        <f t="shared" si="109"/>
        <v>31.502520798117246</v>
      </c>
      <c r="F70" s="16">
        <f t="shared" si="110"/>
        <v>31.502520798117246</v>
      </c>
      <c r="G70" s="22">
        <f t="shared" si="101"/>
        <v>703.43008319246894</v>
      </c>
      <c r="H70" s="248">
        <f>G69*H69/G70</f>
        <v>12.565415418668229</v>
      </c>
      <c r="I70" s="5">
        <f t="shared" si="102"/>
        <v>2.8100572773461234</v>
      </c>
      <c r="J70" s="5">
        <f t="shared" si="108"/>
        <v>2.8100572773461234</v>
      </c>
      <c r="K70" s="16">
        <f t="shared" si="103"/>
        <v>3.8463826264437428</v>
      </c>
      <c r="L70" s="16">
        <f t="shared" si="111"/>
        <v>3.8463826264437428</v>
      </c>
      <c r="M70" s="5">
        <f t="shared" si="104"/>
        <v>0.73778467886885379</v>
      </c>
      <c r="N70" s="279"/>
      <c r="O70" s="280">
        <f t="shared" ref="O70:O84" si="127">(180/PI())*ATAN(($E$17*$H$17) / $G70 /($H70*2*PI()/60)^2)*(AB70/$K$9)</f>
        <v>1.6668422788228729</v>
      </c>
      <c r="P70" s="280">
        <f t="shared" ref="P70:P84" si="128">(180/PI())*ATAN(($E$17*$H$17) / $G70 /($H70*2*PI()/60)^2)*(AH70/$K$9)</f>
        <v>1.6668422788228729</v>
      </c>
      <c r="R70" s="273">
        <f>(D70-D69)/C$17</f>
        <v>757.57575757575762</v>
      </c>
      <c r="S70" s="277">
        <f>SUM(R$60:R70)/60</f>
        <v>64.670954326558871</v>
      </c>
      <c r="Y70" s="5">
        <f t="shared" si="112"/>
        <v>0.17092999999999997</v>
      </c>
      <c r="Z70" s="5">
        <f t="shared" si="113"/>
        <v>2.066805</v>
      </c>
      <c r="AA70" s="16">
        <f t="shared" si="114"/>
        <v>27.728189999999998</v>
      </c>
      <c r="AB70" s="11">
        <f t="shared" si="115"/>
        <v>13.415968124714231</v>
      </c>
      <c r="AC70" s="11">
        <f t="shared" si="116"/>
        <v>1.8291981222380895</v>
      </c>
      <c r="AD70" s="5"/>
      <c r="AE70" s="5">
        <f t="shared" si="117"/>
        <v>0.17092999999999997</v>
      </c>
      <c r="AF70" s="5">
        <f t="shared" si="118"/>
        <v>2.066805</v>
      </c>
      <c r="AG70" s="22">
        <f t="shared" si="119"/>
        <v>27.728189999999998</v>
      </c>
      <c r="AH70" s="11">
        <f t="shared" si="120"/>
        <v>13.415968124714231</v>
      </c>
      <c r="AI70" s="11">
        <f t="shared" si="121"/>
        <v>1.8291981222380895</v>
      </c>
      <c r="AJ70" s="16"/>
      <c r="AK70" s="5">
        <f t="shared" si="122"/>
        <v>0.24096708276516607</v>
      </c>
      <c r="AL70" s="5">
        <f t="shared" si="123"/>
        <v>0.24102441874095876</v>
      </c>
      <c r="AM70" s="5">
        <f t="shared" si="124"/>
        <v>0.26596364579184689</v>
      </c>
      <c r="AN70" s="5">
        <f t="shared" si="125"/>
        <v>2.3626958564442475</v>
      </c>
      <c r="AO70" s="5">
        <f t="shared" si="126"/>
        <v>0.22052213460598957</v>
      </c>
    </row>
    <row r="71" spans="1:41">
      <c r="A71" s="13" t="s">
        <v>49</v>
      </c>
      <c r="B71" s="13"/>
      <c r="C71" s="6">
        <f>C70+5</f>
        <v>20</v>
      </c>
      <c r="D71" s="6">
        <f>D70</f>
        <v>15</v>
      </c>
      <c r="E71" s="16">
        <f t="shared" si="109"/>
        <v>58.223027559218941</v>
      </c>
      <c r="F71" s="16">
        <f t="shared" si="110"/>
        <v>31.502520798117246</v>
      </c>
      <c r="G71" s="22">
        <f t="shared" si="101"/>
        <v>756.87109671467238</v>
      </c>
      <c r="H71" s="248">
        <f>G70*H70/G71</f>
        <v>11.678198905557938</v>
      </c>
      <c r="I71" s="5">
        <f t="shared" si="102"/>
        <v>3.1902925436497869</v>
      </c>
      <c r="J71" s="5">
        <f t="shared" si="108"/>
        <v>2.4272427125784821</v>
      </c>
      <c r="K71" s="16">
        <f t="shared" si="103"/>
        <v>4.6871531250325758</v>
      </c>
      <c r="L71" s="16">
        <f t="shared" si="111"/>
        <v>3.3223892890330222</v>
      </c>
      <c r="M71" s="5">
        <f t="shared" si="104"/>
        <v>0.79382876132622715</v>
      </c>
      <c r="N71" s="279"/>
      <c r="O71" s="280">
        <f t="shared" si="127"/>
        <v>2.3819217038246583</v>
      </c>
      <c r="P71" s="280">
        <f t="shared" si="128"/>
        <v>1.793475406459166</v>
      </c>
      <c r="R71" s="273">
        <f>(C71-C70)/C$17</f>
        <v>757.57575757575762</v>
      </c>
      <c r="S71" s="277">
        <f>SUM(R$60:R71)/60</f>
        <v>77.297216952821501</v>
      </c>
      <c r="Y71" s="5">
        <f t="shared" si="112"/>
        <v>0.18792999999999999</v>
      </c>
      <c r="Z71" s="5">
        <f t="shared" si="113"/>
        <v>2.9639549999999999</v>
      </c>
      <c r="AA71" s="16">
        <f t="shared" si="114"/>
        <v>52.811156666666662</v>
      </c>
      <c r="AB71" s="11">
        <f t="shared" si="115"/>
        <v>17.817799752920223</v>
      </c>
      <c r="AC71" s="11">
        <f t="shared" si="116"/>
        <v>2.5455297005006492</v>
      </c>
      <c r="AD71" s="5"/>
      <c r="AE71" s="5">
        <f t="shared" si="117"/>
        <v>0.17092999999999997</v>
      </c>
      <c r="AF71" s="5">
        <f t="shared" si="118"/>
        <v>2.066805</v>
      </c>
      <c r="AG71" s="22">
        <f t="shared" si="119"/>
        <v>27.728189999999998</v>
      </c>
      <c r="AH71" s="11">
        <f t="shared" si="120"/>
        <v>13.415968124714231</v>
      </c>
      <c r="AI71" s="11">
        <f t="shared" si="121"/>
        <v>1.8291981222380895</v>
      </c>
      <c r="AJ71" s="16"/>
      <c r="AK71" s="5">
        <f t="shared" si="122"/>
        <v>0.20909405832177924</v>
      </c>
      <c r="AL71" s="5">
        <f t="shared" si="123"/>
        <v>0.20914777609284996</v>
      </c>
      <c r="AM71" s="5">
        <f t="shared" si="124"/>
        <v>0.23939040592203417</v>
      </c>
      <c r="AN71" s="5">
        <f t="shared" si="125"/>
        <v>2.0537042504968901</v>
      </c>
      <c r="AO71" s="5">
        <f t="shared" si="126"/>
        <v>0.22353136211345603</v>
      </c>
    </row>
    <row r="72" spans="1:41" ht="13.5" thickBot="1">
      <c r="A72" s="13" t="s">
        <v>50</v>
      </c>
      <c r="B72" s="13"/>
      <c r="C72" s="6">
        <f>C71</f>
        <v>20</v>
      </c>
      <c r="D72" s="6">
        <f>D71+5</f>
        <v>20</v>
      </c>
      <c r="E72" s="16">
        <f t="shared" si="109"/>
        <v>58.223027559218941</v>
      </c>
      <c r="F72" s="16">
        <f t="shared" si="110"/>
        <v>58.223027559218941</v>
      </c>
      <c r="G72" s="22">
        <f t="shared" si="101"/>
        <v>810.31211023687581</v>
      </c>
      <c r="H72" s="248">
        <f>G71*H71/G72</f>
        <v>10.908008286730258</v>
      </c>
      <c r="I72" s="5">
        <f t="shared" si="102"/>
        <v>2.7833619845185367</v>
      </c>
      <c r="J72" s="5">
        <f t="shared" si="108"/>
        <v>2.7833619845185367</v>
      </c>
      <c r="K72" s="16">
        <f t="shared" si="103"/>
        <v>4.089293895571056</v>
      </c>
      <c r="L72" s="16">
        <f t="shared" si="111"/>
        <v>4.089293895571056</v>
      </c>
      <c r="M72" s="5">
        <f t="shared" si="104"/>
        <v>0.84987132468148952</v>
      </c>
      <c r="N72" s="272"/>
      <c r="O72" s="282">
        <f t="shared" si="127"/>
        <v>2.5501035775994607</v>
      </c>
      <c r="P72" s="282">
        <f t="shared" si="128"/>
        <v>2.5501035775994607</v>
      </c>
      <c r="R72" s="273">
        <f>(D72-D71)/C$17</f>
        <v>757.57575757575762</v>
      </c>
      <c r="S72" s="277">
        <f>SUM(R$60:R72)/60</f>
        <v>89.92347957908413</v>
      </c>
      <c r="Y72" s="5">
        <f t="shared" si="112"/>
        <v>0.18792999999999999</v>
      </c>
      <c r="Z72" s="5">
        <f t="shared" si="113"/>
        <v>2.9639549999999999</v>
      </c>
      <c r="AA72" s="16">
        <f t="shared" si="114"/>
        <v>52.811156666666662</v>
      </c>
      <c r="AB72" s="11">
        <f t="shared" si="115"/>
        <v>17.817799752920223</v>
      </c>
      <c r="AC72" s="11">
        <f t="shared" si="116"/>
        <v>2.5455297005006492</v>
      </c>
      <c r="AD72" s="5"/>
      <c r="AE72" s="5">
        <f t="shared" si="117"/>
        <v>0.18792999999999999</v>
      </c>
      <c r="AF72" s="5">
        <f t="shared" si="118"/>
        <v>2.9639549999999999</v>
      </c>
      <c r="AG72" s="22">
        <f t="shared" si="119"/>
        <v>52.811156666666662</v>
      </c>
      <c r="AH72" s="11">
        <f t="shared" si="120"/>
        <v>17.817799752920223</v>
      </c>
      <c r="AI72" s="11">
        <f t="shared" si="121"/>
        <v>2.5455297005006492</v>
      </c>
      <c r="AJ72" s="16"/>
      <c r="AK72" s="5">
        <f t="shared" si="122"/>
        <v>0.20909405832177924</v>
      </c>
      <c r="AL72" s="5">
        <f t="shared" si="123"/>
        <v>0.20914777609284996</v>
      </c>
      <c r="AM72" s="5">
        <f t="shared" si="124"/>
        <v>0.24769768378869347</v>
      </c>
      <c r="AN72" s="5">
        <f t="shared" si="125"/>
        <v>1.8653003716233811</v>
      </c>
      <c r="AO72" s="5">
        <f t="shared" si="126"/>
        <v>0.22353136211345603</v>
      </c>
    </row>
    <row r="73" spans="1:41" ht="13.5" thickBot="1">
      <c r="A73" s="533" t="s">
        <v>560</v>
      </c>
      <c r="B73" s="534"/>
      <c r="C73" s="6">
        <f>C72</f>
        <v>20</v>
      </c>
      <c r="D73" s="6">
        <f>D72</f>
        <v>20</v>
      </c>
      <c r="E73" s="16">
        <f t="shared" si="109"/>
        <v>58.223027559218941</v>
      </c>
      <c r="F73" s="16">
        <f t="shared" si="110"/>
        <v>58.223027559218941</v>
      </c>
      <c r="G73" s="22">
        <f t="shared" si="101"/>
        <v>810.31211023687581</v>
      </c>
      <c r="H73" s="520">
        <f>H36</f>
        <v>10.908008286730258</v>
      </c>
      <c r="I73" s="5">
        <f t="shared" si="102"/>
        <v>2.7833619845185367</v>
      </c>
      <c r="J73" s="5">
        <f t="shared" si="108"/>
        <v>2.7833619845185367</v>
      </c>
      <c r="K73" s="16">
        <f t="shared" si="103"/>
        <v>4.089293895571056</v>
      </c>
      <c r="L73" s="16">
        <f t="shared" si="111"/>
        <v>4.089293895571056</v>
      </c>
      <c r="M73" s="5">
        <f t="shared" si="104"/>
        <v>0.84987132468148952</v>
      </c>
      <c r="N73" s="272"/>
      <c r="O73" s="282">
        <f t="shared" si="127"/>
        <v>2.5501035775994607</v>
      </c>
      <c r="P73" s="282">
        <f t="shared" si="128"/>
        <v>2.5501035775994607</v>
      </c>
      <c r="Q73" s="276"/>
      <c r="R73" s="276">
        <f>((G73*H73-G72*H72)*2*PI()/60)/($E$17*$H$17)</f>
        <v>0</v>
      </c>
      <c r="S73" s="277">
        <f>SUM(R$60:R73)/60</f>
        <v>89.92347957908413</v>
      </c>
      <c r="Y73" s="5">
        <f t="shared" si="112"/>
        <v>0.18792999999999999</v>
      </c>
      <c r="Z73" s="5">
        <f t="shared" si="113"/>
        <v>2.9639549999999999</v>
      </c>
      <c r="AA73" s="16">
        <f t="shared" si="114"/>
        <v>52.811156666666662</v>
      </c>
      <c r="AB73" s="11">
        <f t="shared" si="115"/>
        <v>17.817799752920223</v>
      </c>
      <c r="AC73" s="11">
        <f t="shared" si="116"/>
        <v>2.5455297005006492</v>
      </c>
      <c r="AD73" s="5"/>
      <c r="AE73" s="5">
        <f t="shared" si="117"/>
        <v>0.18792999999999999</v>
      </c>
      <c r="AF73" s="5">
        <f t="shared" si="118"/>
        <v>2.9639549999999999</v>
      </c>
      <c r="AG73" s="22">
        <f t="shared" si="119"/>
        <v>52.811156666666662</v>
      </c>
      <c r="AH73" s="11">
        <f t="shared" si="120"/>
        <v>17.817799752920223</v>
      </c>
      <c r="AI73" s="11">
        <f t="shared" si="121"/>
        <v>2.5455297005006492</v>
      </c>
      <c r="AJ73" s="16"/>
      <c r="AK73" s="5">
        <f t="shared" si="122"/>
        <v>0.20909405832177924</v>
      </c>
      <c r="AL73" s="5">
        <f t="shared" si="123"/>
        <v>0.20914777609284996</v>
      </c>
      <c r="AM73" s="5">
        <f t="shared" si="124"/>
        <v>0.24769768378869347</v>
      </c>
      <c r="AN73" s="5">
        <f t="shared" si="125"/>
        <v>1.8653003716233811</v>
      </c>
      <c r="AO73" s="5">
        <f t="shared" si="126"/>
        <v>0.22353136211345603</v>
      </c>
    </row>
    <row r="74" spans="1:41">
      <c r="A74" s="13" t="s">
        <v>49</v>
      </c>
      <c r="B74" s="13"/>
      <c r="C74" s="6">
        <f>C73+5</f>
        <v>25</v>
      </c>
      <c r="D74" s="6">
        <f>D73</f>
        <v>20</v>
      </c>
      <c r="E74" s="16">
        <f t="shared" si="109"/>
        <v>94.493863377978755</v>
      </c>
      <c r="F74" s="16">
        <f t="shared" si="110"/>
        <v>58.223027559218941</v>
      </c>
      <c r="G74" s="22">
        <f t="shared" si="101"/>
        <v>882.85378187439539</v>
      </c>
      <c r="H74" s="248">
        <f>G73*H73/G74</f>
        <v>10.011727190583914</v>
      </c>
      <c r="I74" s="5">
        <f t="shared" si="102"/>
        <v>2.9055657372958792</v>
      </c>
      <c r="J74" s="5">
        <f t="shared" si="108"/>
        <v>2.3447513086779659</v>
      </c>
      <c r="K74" s="16">
        <f t="shared" si="103"/>
        <v>4.5413749430037873</v>
      </c>
      <c r="L74" s="16">
        <f t="shared" si="111"/>
        <v>3.4448904837175327</v>
      </c>
      <c r="M74" s="5">
        <f t="shared" si="104"/>
        <v>0.92594175849423477</v>
      </c>
      <c r="N74" s="279"/>
      <c r="O74" s="280">
        <f t="shared" si="127"/>
        <v>3.4493642202203358</v>
      </c>
      <c r="P74" s="280">
        <f t="shared" si="128"/>
        <v>2.7783961607665582</v>
      </c>
      <c r="R74" s="273">
        <f>(C74-C73)/C$17</f>
        <v>757.57575757575762</v>
      </c>
      <c r="S74" s="277">
        <f>SUM(R$60:R74)/60</f>
        <v>102.54974220534676</v>
      </c>
      <c r="Y74" s="5">
        <f t="shared" si="112"/>
        <v>0.20493</v>
      </c>
      <c r="Z74" s="5">
        <f t="shared" si="113"/>
        <v>3.9461049999999993</v>
      </c>
      <c r="AA74" s="16">
        <f t="shared" si="114"/>
        <v>87.290623333333329</v>
      </c>
      <c r="AB74" s="11">
        <f t="shared" si="115"/>
        <v>22.120704677988382</v>
      </c>
      <c r="AC74" s="11">
        <f t="shared" si="116"/>
        <v>3.3276842054988043</v>
      </c>
      <c r="AD74" s="5"/>
      <c r="AE74" s="5">
        <f t="shared" si="117"/>
        <v>0.18792999999999999</v>
      </c>
      <c r="AF74" s="5">
        <f t="shared" si="118"/>
        <v>2.9639549999999999</v>
      </c>
      <c r="AG74" s="22">
        <f t="shared" si="119"/>
        <v>52.811156666666662</v>
      </c>
      <c r="AH74" s="11">
        <f t="shared" si="120"/>
        <v>17.817799752920223</v>
      </c>
      <c r="AI74" s="11">
        <f t="shared" si="121"/>
        <v>2.5455297005006492</v>
      </c>
      <c r="AJ74" s="16"/>
      <c r="AK74" s="5">
        <f t="shared" si="122"/>
        <v>0.18765893615194992</v>
      </c>
      <c r="AL74" s="5">
        <f t="shared" si="123"/>
        <v>0.18771063301577023</v>
      </c>
      <c r="AM74" s="5">
        <f t="shared" si="124"/>
        <v>0.232042603532157</v>
      </c>
      <c r="AN74" s="5">
        <f t="shared" si="125"/>
        <v>1.700144583059777</v>
      </c>
      <c r="AO74" s="5">
        <f t="shared" si="126"/>
        <v>0.22681710425152857</v>
      </c>
    </row>
    <row r="75" spans="1:41">
      <c r="A75" s="13" t="s">
        <v>50</v>
      </c>
      <c r="B75" s="13"/>
      <c r="C75" s="6">
        <f>C74</f>
        <v>25</v>
      </c>
      <c r="D75" s="6">
        <f>D74+5</f>
        <v>25</v>
      </c>
      <c r="E75" s="16">
        <f t="shared" si="109"/>
        <v>94.493863377978755</v>
      </c>
      <c r="F75" s="16">
        <f t="shared" si="110"/>
        <v>94.493863377978755</v>
      </c>
      <c r="G75" s="22">
        <f t="shared" si="101"/>
        <v>955.39545351191498</v>
      </c>
      <c r="H75" s="248">
        <f>G74*H74/G75</f>
        <v>9.2515525176627733</v>
      </c>
      <c r="I75" s="5">
        <f t="shared" si="102"/>
        <v>2.4810866309812187</v>
      </c>
      <c r="J75" s="5">
        <f t="shared" si="108"/>
        <v>2.4810866309812187</v>
      </c>
      <c r="K75" s="16">
        <f t="shared" si="103"/>
        <v>3.8779176505041497</v>
      </c>
      <c r="L75" s="16">
        <f t="shared" si="111"/>
        <v>3.8779176505041497</v>
      </c>
      <c r="M75" s="5">
        <f t="shared" si="104"/>
        <v>1.0020089277887017</v>
      </c>
      <c r="N75" s="279"/>
      <c r="O75" s="280">
        <f t="shared" si="127"/>
        <v>3.7327880521341132</v>
      </c>
      <c r="P75" s="280">
        <f t="shared" si="128"/>
        <v>3.7327880521341132</v>
      </c>
      <c r="R75" s="273">
        <f>(D75-D74)/C$17</f>
        <v>757.57575757575762</v>
      </c>
      <c r="S75" s="277">
        <f>SUM(R$60:R75)/60</f>
        <v>115.17600483160939</v>
      </c>
      <c r="Y75" s="5">
        <f t="shared" si="112"/>
        <v>0.20493</v>
      </c>
      <c r="Z75" s="5">
        <f t="shared" si="113"/>
        <v>3.9461049999999993</v>
      </c>
      <c r="AA75" s="16">
        <f t="shared" si="114"/>
        <v>87.290623333333329</v>
      </c>
      <c r="AB75" s="11">
        <f t="shared" si="115"/>
        <v>22.120704677988382</v>
      </c>
      <c r="AC75" s="11">
        <f t="shared" si="116"/>
        <v>3.3276842054988043</v>
      </c>
      <c r="AD75" s="5"/>
      <c r="AE75" s="5">
        <f t="shared" si="117"/>
        <v>0.20493</v>
      </c>
      <c r="AF75" s="5">
        <f t="shared" si="118"/>
        <v>3.9461049999999993</v>
      </c>
      <c r="AG75" s="22">
        <f t="shared" si="119"/>
        <v>87.290623333333329</v>
      </c>
      <c r="AH75" s="11">
        <f t="shared" si="120"/>
        <v>22.120704677988382</v>
      </c>
      <c r="AI75" s="11">
        <f t="shared" si="121"/>
        <v>3.3276842054988043</v>
      </c>
      <c r="AJ75" s="16"/>
      <c r="AK75" s="5">
        <f t="shared" si="122"/>
        <v>0.18765893615194992</v>
      </c>
      <c r="AL75" s="5">
        <f t="shared" si="123"/>
        <v>0.18771063301577023</v>
      </c>
      <c r="AM75" s="5">
        <f t="shared" si="124"/>
        <v>0.24138758172371638</v>
      </c>
      <c r="AN75" s="5">
        <f t="shared" si="125"/>
        <v>1.5898633088386032</v>
      </c>
      <c r="AO75" s="5">
        <f t="shared" si="126"/>
        <v>0.22681710425152857</v>
      </c>
    </row>
    <row r="76" spans="1:41">
      <c r="A76" s="13" t="s">
        <v>49</v>
      </c>
      <c r="B76" s="13"/>
      <c r="C76" s="6">
        <f>C75+5</f>
        <v>30</v>
      </c>
      <c r="D76" s="6">
        <f>D75</f>
        <v>25</v>
      </c>
      <c r="E76" s="16">
        <f t="shared" si="109"/>
        <v>141.16502825439667</v>
      </c>
      <c r="F76" s="16">
        <f t="shared" si="110"/>
        <v>94.493863377978755</v>
      </c>
      <c r="G76" s="22">
        <f t="shared" si="101"/>
        <v>1048.7377832647508</v>
      </c>
      <c r="H76" s="248">
        <f>G75*H75/G76</f>
        <v>8.4281231727782355</v>
      </c>
      <c r="I76" s="5">
        <f t="shared" si="102"/>
        <v>2.4565178543273882</v>
      </c>
      <c r="J76" s="5">
        <f t="shared" si="108"/>
        <v>2.0590857808314489</v>
      </c>
      <c r="K76" s="16">
        <f t="shared" si="103"/>
        <v>4.0615911144977295</v>
      </c>
      <c r="L76" s="16">
        <f t="shared" si="111"/>
        <v>3.218333851660192</v>
      </c>
      <c r="M76" s="5">
        <f t="shared" si="104"/>
        <v>1.0998824246068832</v>
      </c>
      <c r="N76" s="279"/>
      <c r="O76" s="280">
        <f t="shared" si="127"/>
        <v>4.8778301867570022</v>
      </c>
      <c r="P76" s="280">
        <f t="shared" si="128"/>
        <v>4.0974807291417203</v>
      </c>
      <c r="R76" s="273">
        <f>(C76-C75)/C$17</f>
        <v>757.57575757575762</v>
      </c>
      <c r="S76" s="277">
        <f>SUM(R$60:R76)/60</f>
        <v>127.80226745787202</v>
      </c>
      <c r="Y76" s="5">
        <f t="shared" si="112"/>
        <v>0.22192999999999996</v>
      </c>
      <c r="Z76" s="5">
        <f t="shared" si="113"/>
        <v>5.0132549999999991</v>
      </c>
      <c r="AA76" s="16">
        <f t="shared" si="114"/>
        <v>132.01659000000001</v>
      </c>
      <c r="AB76" s="11">
        <f t="shared" si="115"/>
        <v>26.333507870634953</v>
      </c>
      <c r="AC76" s="11">
        <f t="shared" si="116"/>
        <v>4.1759554993735621</v>
      </c>
      <c r="AD76" s="5"/>
      <c r="AE76" s="5">
        <f t="shared" si="117"/>
        <v>0.20493</v>
      </c>
      <c r="AF76" s="5">
        <f t="shared" si="118"/>
        <v>3.9461049999999993</v>
      </c>
      <c r="AG76" s="22">
        <f t="shared" si="119"/>
        <v>87.290623333333329</v>
      </c>
      <c r="AH76" s="11">
        <f t="shared" si="120"/>
        <v>22.120704677988382</v>
      </c>
      <c r="AI76" s="11">
        <f t="shared" si="121"/>
        <v>3.3276842054988043</v>
      </c>
      <c r="AJ76" s="16"/>
      <c r="AK76" s="5">
        <f t="shared" si="122"/>
        <v>0.17199442552305602</v>
      </c>
      <c r="AL76" s="5">
        <f t="shared" si="123"/>
        <v>0.17204498670001003</v>
      </c>
      <c r="AM76" s="5">
        <f t="shared" si="124"/>
        <v>0.23179385453777335</v>
      </c>
      <c r="AN76" s="5">
        <f t="shared" si="125"/>
        <v>1.4916830133027117</v>
      </c>
      <c r="AO76" s="5">
        <f t="shared" si="126"/>
        <v>0.23038059550164691</v>
      </c>
    </row>
    <row r="77" spans="1:41" ht="13.5" thickBot="1">
      <c r="A77" s="13" t="s">
        <v>50</v>
      </c>
      <c r="B77" s="13"/>
      <c r="C77" s="6">
        <f>C76</f>
        <v>30</v>
      </c>
      <c r="D77" s="6">
        <f>D76+5</f>
        <v>30</v>
      </c>
      <c r="E77" s="16">
        <f t="shared" si="109"/>
        <v>141.16502825439667</v>
      </c>
      <c r="F77" s="16">
        <f t="shared" si="110"/>
        <v>141.16502825439667</v>
      </c>
      <c r="G77" s="22">
        <f t="shared" si="101"/>
        <v>1142.0801130175867</v>
      </c>
      <c r="H77" s="248">
        <f>G76*H76/G77</f>
        <v>7.7392917646974349</v>
      </c>
      <c r="I77" s="5">
        <f t="shared" si="102"/>
        <v>2.0713839939936793</v>
      </c>
      <c r="J77" s="5">
        <f t="shared" si="108"/>
        <v>2.0713839939936793</v>
      </c>
      <c r="K77" s="16">
        <f t="shared" si="103"/>
        <v>3.4248132208349515</v>
      </c>
      <c r="L77" s="16">
        <f t="shared" si="111"/>
        <v>3.4248132208349515</v>
      </c>
      <c r="M77" s="5">
        <f t="shared" si="104"/>
        <v>1.1977495021549989</v>
      </c>
      <c r="N77" s="272"/>
      <c r="O77" s="282">
        <f t="shared" si="127"/>
        <v>5.3119766923648672</v>
      </c>
      <c r="P77" s="282">
        <f t="shared" si="128"/>
        <v>5.3119766923648672</v>
      </c>
      <c r="R77" s="273">
        <f>(D77-D76)/C$17</f>
        <v>757.57575757575762</v>
      </c>
      <c r="S77" s="277">
        <f>SUM(R$60:R77)/60</f>
        <v>140.42853008413465</v>
      </c>
      <c r="Y77" s="5">
        <f t="shared" si="112"/>
        <v>0.22192999999999996</v>
      </c>
      <c r="Z77" s="5">
        <f t="shared" si="113"/>
        <v>5.0132549999999991</v>
      </c>
      <c r="AA77" s="16">
        <f t="shared" si="114"/>
        <v>132.01659000000001</v>
      </c>
      <c r="AB77" s="11">
        <f t="shared" si="115"/>
        <v>26.333507870634953</v>
      </c>
      <c r="AC77" s="11">
        <f t="shared" si="116"/>
        <v>4.1759554993735621</v>
      </c>
      <c r="AD77" s="5"/>
      <c r="AE77" s="5">
        <f t="shared" si="117"/>
        <v>0.22192999999999996</v>
      </c>
      <c r="AF77" s="5">
        <f t="shared" si="118"/>
        <v>5.0132549999999991</v>
      </c>
      <c r="AG77" s="22">
        <f t="shared" si="119"/>
        <v>132.01659000000001</v>
      </c>
      <c r="AH77" s="11">
        <f t="shared" si="120"/>
        <v>26.333507870634953</v>
      </c>
      <c r="AI77" s="11">
        <f t="shared" si="121"/>
        <v>4.1759554993735621</v>
      </c>
      <c r="AJ77" s="16"/>
      <c r="AK77" s="5">
        <f t="shared" si="122"/>
        <v>0.17199442552305602</v>
      </c>
      <c r="AL77" s="5">
        <f t="shared" si="123"/>
        <v>0.17204498670001003</v>
      </c>
      <c r="AM77" s="5">
        <f t="shared" si="124"/>
        <v>0.24188934846351301</v>
      </c>
      <c r="AN77" s="5">
        <f t="shared" si="125"/>
        <v>1.4221805316905027</v>
      </c>
      <c r="AO77" s="5">
        <f t="shared" si="126"/>
        <v>0.23038059550164691</v>
      </c>
    </row>
    <row r="78" spans="1:41" ht="13.5" thickBot="1">
      <c r="A78" s="13" t="s">
        <v>51</v>
      </c>
      <c r="B78" s="13"/>
      <c r="C78" s="6">
        <f>C77</f>
        <v>30</v>
      </c>
      <c r="D78" s="6">
        <f>D77</f>
        <v>30</v>
      </c>
      <c r="E78" s="16">
        <f t="shared" si="109"/>
        <v>141.16502825439667</v>
      </c>
      <c r="F78" s="16">
        <f t="shared" si="110"/>
        <v>141.16502825439667</v>
      </c>
      <c r="G78" s="22">
        <f t="shared" si="101"/>
        <v>1142.0801130175867</v>
      </c>
      <c r="H78" s="520">
        <f>H41</f>
        <v>11.06</v>
      </c>
      <c r="I78" s="5">
        <f t="shared" si="102"/>
        <v>4.2302733465124209</v>
      </c>
      <c r="J78" s="5">
        <f t="shared" si="108"/>
        <v>4.2302733465124209</v>
      </c>
      <c r="K78" s="16">
        <f t="shared" si="103"/>
        <v>6.9943072491105012</v>
      </c>
      <c r="L78" s="16">
        <f t="shared" si="111"/>
        <v>6.9943072491105012</v>
      </c>
      <c r="M78" s="5">
        <f t="shared" si="104"/>
        <v>0.83819367177728066</v>
      </c>
      <c r="N78" s="272"/>
      <c r="O78" s="282">
        <f t="shared" si="127"/>
        <v>2.6010528325601503</v>
      </c>
      <c r="P78" s="282">
        <f t="shared" si="128"/>
        <v>2.6010528325601503</v>
      </c>
      <c r="Q78" s="276"/>
      <c r="R78" s="276">
        <f>((G78*H78-G77*H77)*2*PI()/60)/($E$17*$H$17)</f>
        <v>193.03510774842056</v>
      </c>
      <c r="S78" s="277">
        <f>SUM(R$60:R78)/60</f>
        <v>143.64578187994167</v>
      </c>
      <c r="Y78" s="5">
        <f t="shared" si="112"/>
        <v>0.22192999999999996</v>
      </c>
      <c r="Z78" s="5">
        <f t="shared" si="113"/>
        <v>5.0132549999999991</v>
      </c>
      <c r="AA78" s="16">
        <f t="shared" si="114"/>
        <v>132.01659000000001</v>
      </c>
      <c r="AB78" s="11">
        <f t="shared" si="115"/>
        <v>26.333507870634953</v>
      </c>
      <c r="AC78" s="11">
        <f t="shared" si="116"/>
        <v>4.1759554993735621</v>
      </c>
      <c r="AD78" s="5"/>
      <c r="AE78" s="5">
        <f t="shared" si="117"/>
        <v>0.22192999999999996</v>
      </c>
      <c r="AF78" s="5">
        <f t="shared" si="118"/>
        <v>5.0132549999999991</v>
      </c>
      <c r="AG78" s="22">
        <f t="shared" si="119"/>
        <v>132.01659000000001</v>
      </c>
      <c r="AH78" s="11">
        <f t="shared" si="120"/>
        <v>26.333507870634953</v>
      </c>
      <c r="AI78" s="11">
        <f t="shared" si="121"/>
        <v>4.1759554993735621</v>
      </c>
      <c r="AJ78" s="16"/>
      <c r="AK78" s="5">
        <f t="shared" si="122"/>
        <v>0.17199442552305602</v>
      </c>
      <c r="AL78" s="5">
        <f t="shared" si="123"/>
        <v>0.17204498670001003</v>
      </c>
      <c r="AM78" s="5">
        <f t="shared" si="124"/>
        <v>0.24188934846351301</v>
      </c>
      <c r="AN78" s="5">
        <f t="shared" si="125"/>
        <v>1.4221805316905027</v>
      </c>
      <c r="AO78" s="5">
        <f t="shared" si="126"/>
        <v>0.23038059550164691</v>
      </c>
    </row>
    <row r="79" spans="1:41">
      <c r="A79" s="13" t="s">
        <v>49</v>
      </c>
      <c r="B79" s="13"/>
      <c r="C79" s="6">
        <f>C78+5</f>
        <v>35</v>
      </c>
      <c r="D79" s="6">
        <f>D78</f>
        <v>30</v>
      </c>
      <c r="E79" s="16">
        <f t="shared" si="109"/>
        <v>199.08652218847266</v>
      </c>
      <c r="F79" s="16">
        <f t="shared" si="110"/>
        <v>141.16502825439667</v>
      </c>
      <c r="G79" s="22">
        <f t="shared" si="101"/>
        <v>1257.9231008857387</v>
      </c>
      <c r="H79" s="248">
        <f>G78*H78/G79</f>
        <v>10.041477130899642</v>
      </c>
      <c r="I79" s="5">
        <f t="shared" si="102"/>
        <v>4.0511638463944841</v>
      </c>
      <c r="J79" s="5">
        <f t="shared" si="108"/>
        <v>3.4870115352947875</v>
      </c>
      <c r="K79" s="16">
        <f t="shared" si="103"/>
        <v>7.0563889806670916</v>
      </c>
      <c r="L79" s="16">
        <f t="shared" si="111"/>
        <v>5.7654028620045485</v>
      </c>
      <c r="M79" s="5">
        <f t="shared" si="104"/>
        <v>0.92319894117819312</v>
      </c>
      <c r="N79" s="279"/>
      <c r="O79" s="280">
        <f t="shared" si="127"/>
        <v>3.314531987878035</v>
      </c>
      <c r="P79" s="280">
        <f t="shared" si="128"/>
        <v>2.8648813582781423</v>
      </c>
      <c r="R79" s="273">
        <f>(C79-C78)/C$17</f>
        <v>757.57575757575762</v>
      </c>
      <c r="S79" s="277">
        <f>SUM(R$60:R79)/60</f>
        <v>156.27204450620428</v>
      </c>
      <c r="Y79" s="5">
        <f t="shared" si="112"/>
        <v>0.23892999999999998</v>
      </c>
      <c r="Z79" s="5">
        <f t="shared" si="113"/>
        <v>6.1654049999999998</v>
      </c>
      <c r="AA79" s="16">
        <f t="shared" si="114"/>
        <v>187.83905666666664</v>
      </c>
      <c r="AB79" s="11">
        <f t="shared" si="115"/>
        <v>30.466620873513847</v>
      </c>
      <c r="AC79" s="11">
        <f t="shared" si="116"/>
        <v>5.0904365610052373</v>
      </c>
      <c r="AD79" s="5"/>
      <c r="AE79" s="5">
        <f t="shared" si="117"/>
        <v>0.22192999999999996</v>
      </c>
      <c r="AF79" s="5">
        <f t="shared" si="118"/>
        <v>5.0132549999999991</v>
      </c>
      <c r="AG79" s="22">
        <f t="shared" si="119"/>
        <v>132.01659000000001</v>
      </c>
      <c r="AH79" s="11">
        <f t="shared" si="120"/>
        <v>26.333507870634953</v>
      </c>
      <c r="AI79" s="11">
        <f t="shared" si="121"/>
        <v>4.1759554993735621</v>
      </c>
      <c r="AJ79" s="16"/>
      <c r="AK79" s="5">
        <f t="shared" si="122"/>
        <v>0.15990299003321243</v>
      </c>
      <c r="AL79" s="5">
        <f t="shared" si="123"/>
        <v>0.15995295344554758</v>
      </c>
      <c r="AM79" s="5">
        <f t="shared" si="124"/>
        <v>0.23601397523956347</v>
      </c>
      <c r="AN79" s="5">
        <f t="shared" si="125"/>
        <v>1.3596026177654403</v>
      </c>
      <c r="AO79" s="5">
        <f t="shared" si="126"/>
        <v>0.23422222645751489</v>
      </c>
    </row>
    <row r="80" spans="1:41">
      <c r="A80" s="13" t="s">
        <v>50</v>
      </c>
      <c r="B80" s="13"/>
      <c r="C80" s="6">
        <f>C79</f>
        <v>35</v>
      </c>
      <c r="D80" s="6">
        <f>D79+5</f>
        <v>35</v>
      </c>
      <c r="E80" s="16">
        <f t="shared" si="109"/>
        <v>199.08652218847266</v>
      </c>
      <c r="F80" s="16">
        <f t="shared" si="110"/>
        <v>199.08652218847266</v>
      </c>
      <c r="G80" s="22">
        <f t="shared" si="101"/>
        <v>1373.7660887538905</v>
      </c>
      <c r="H80" s="248">
        <f>G79*H79/G80</f>
        <v>9.1947283845331675</v>
      </c>
      <c r="I80" s="5">
        <f t="shared" si="102"/>
        <v>3.3967408200168712</v>
      </c>
      <c r="J80" s="5">
        <f t="shared" si="108"/>
        <v>3.3967408200168712</v>
      </c>
      <c r="K80" s="16">
        <f t="shared" si="103"/>
        <v>5.9165033559136839</v>
      </c>
      <c r="L80" s="16">
        <f t="shared" si="111"/>
        <v>5.9165033559136839</v>
      </c>
      <c r="M80" s="5">
        <f t="shared" si="104"/>
        <v>1.0082001462559871</v>
      </c>
      <c r="N80" s="279"/>
      <c r="O80" s="280">
        <f t="shared" si="127"/>
        <v>3.6197689684243248</v>
      </c>
      <c r="P80" s="280">
        <f t="shared" si="128"/>
        <v>3.6197689684243248</v>
      </c>
      <c r="R80" s="273">
        <f>(D80-D79)/C$17</f>
        <v>757.57575757575762</v>
      </c>
      <c r="S80" s="277">
        <f>SUM(R$60:R80)/60</f>
        <v>168.89830713246693</v>
      </c>
      <c r="Y80" s="5">
        <f t="shared" si="112"/>
        <v>0.23892999999999998</v>
      </c>
      <c r="Z80" s="5">
        <f t="shared" si="113"/>
        <v>6.1654049999999998</v>
      </c>
      <c r="AA80" s="16">
        <f t="shared" si="114"/>
        <v>187.83905666666664</v>
      </c>
      <c r="AB80" s="11">
        <f t="shared" si="115"/>
        <v>30.466620873513847</v>
      </c>
      <c r="AC80" s="11">
        <f t="shared" si="116"/>
        <v>5.0904365610052373</v>
      </c>
      <c r="AD80" s="5"/>
      <c r="AE80" s="5">
        <f t="shared" si="117"/>
        <v>0.23892999999999998</v>
      </c>
      <c r="AF80" s="5">
        <f t="shared" si="118"/>
        <v>6.1654049999999998</v>
      </c>
      <c r="AG80" s="22">
        <f t="shared" si="119"/>
        <v>187.83905666666664</v>
      </c>
      <c r="AH80" s="11">
        <f t="shared" si="120"/>
        <v>30.466620873513847</v>
      </c>
      <c r="AI80" s="11">
        <f t="shared" si="121"/>
        <v>5.0904365610052373</v>
      </c>
      <c r="AJ80" s="16"/>
      <c r="AK80" s="5">
        <f t="shared" si="122"/>
        <v>0.15990299003321243</v>
      </c>
      <c r="AL80" s="5">
        <f t="shared" si="123"/>
        <v>0.15995295344554758</v>
      </c>
      <c r="AM80" s="10">
        <f t="shared" si="124"/>
        <v>0.24664202042276492</v>
      </c>
      <c r="AN80" s="5">
        <f t="shared" si="125"/>
        <v>1.3134255796591114</v>
      </c>
      <c r="AO80" s="5">
        <f t="shared" si="126"/>
        <v>0.23422222645751489</v>
      </c>
    </row>
    <row r="81" spans="1:41">
      <c r="A81" s="13" t="s">
        <v>49</v>
      </c>
      <c r="B81" s="13"/>
      <c r="C81" s="6">
        <f>C80+5</f>
        <v>40</v>
      </c>
      <c r="D81" s="11">
        <f>$K$12/2-$K$8</f>
        <v>49.095123190246383</v>
      </c>
      <c r="E81" s="22">
        <f t="shared" si="109"/>
        <v>269.10834518020681</v>
      </c>
      <c r="F81" s="22">
        <f t="shared" si="110"/>
        <v>430.27858209873688</v>
      </c>
      <c r="G81" s="22">
        <f t="shared" si="101"/>
        <v>1976.1938545578873</v>
      </c>
      <c r="H81" s="248">
        <f>G80*H80/G81</f>
        <v>6.3917849055351894</v>
      </c>
      <c r="I81" s="5">
        <f t="shared" si="102"/>
        <v>1.8700385220661058</v>
      </c>
      <c r="J81" s="5">
        <f t="shared" si="108"/>
        <v>2.2858381052747752</v>
      </c>
      <c r="K81" s="16">
        <f t="shared" si="103"/>
        <v>3.420280044771693</v>
      </c>
      <c r="L81" s="16">
        <f t="shared" si="111"/>
        <v>4.538693292863929</v>
      </c>
      <c r="M81" s="5">
        <f t="shared" si="104"/>
        <v>1.4501588795003202</v>
      </c>
      <c r="N81" s="279"/>
      <c r="O81" s="280">
        <f t="shared" si="127"/>
        <v>5.9015453963911879</v>
      </c>
      <c r="P81" s="280">
        <f t="shared" si="128"/>
        <v>7.1386282511998438</v>
      </c>
      <c r="R81" s="273">
        <f>(C81-C80)/C$17</f>
        <v>757.57575757575762</v>
      </c>
      <c r="S81" s="277">
        <f>SUM(R$60:R81)/60</f>
        <v>181.52456975872957</v>
      </c>
      <c r="Y81" s="5">
        <f t="shared" si="112"/>
        <v>0.25592999999999999</v>
      </c>
      <c r="Z81" s="11">
        <f t="shared" si="113"/>
        <v>7.4025550000000004</v>
      </c>
      <c r="AA81" s="16">
        <f t="shared" si="114"/>
        <v>255.60802333333331</v>
      </c>
      <c r="AB81" s="11">
        <f t="shared" si="115"/>
        <v>34.529702694992913</v>
      </c>
      <c r="AC81" s="11">
        <f t="shared" si="116"/>
        <v>6.0711614793538304</v>
      </c>
      <c r="AD81" s="5"/>
      <c r="AE81" s="5">
        <f t="shared" si="117"/>
        <v>0.28685341884683768</v>
      </c>
      <c r="AF81" s="5">
        <f t="shared" si="118"/>
        <v>9.8708960300175441</v>
      </c>
      <c r="AG81" s="22">
        <f t="shared" si="119"/>
        <v>412.28585098014969</v>
      </c>
      <c r="AH81" s="11">
        <f t="shared" si="120"/>
        <v>41.767824291369514</v>
      </c>
      <c r="AI81" s="11">
        <f t="shared" si="121"/>
        <v>8.0250053992919064</v>
      </c>
      <c r="AJ81" s="16"/>
      <c r="AK81" s="5">
        <f t="shared" si="122"/>
        <v>0.15020082196254331</v>
      </c>
      <c r="AL81" s="5">
        <f t="shared" si="123"/>
        <v>0.15025053677307193</v>
      </c>
      <c r="AM81" s="5">
        <f t="shared" si="124"/>
        <v>0.27786968601606138</v>
      </c>
      <c r="AN81" s="5">
        <f t="shared" si="125"/>
        <v>1.1886144870129842</v>
      </c>
      <c r="AO81" s="5">
        <f t="shared" si="126"/>
        <v>0.23834214032297707</v>
      </c>
    </row>
    <row r="82" spans="1:41">
      <c r="A82" s="13" t="s">
        <v>49</v>
      </c>
      <c r="B82" s="13"/>
      <c r="C82" s="22">
        <f>C81+5</f>
        <v>45</v>
      </c>
      <c r="D82" s="11">
        <f>$K$12/2-$K$8</f>
        <v>49.095123190246383</v>
      </c>
      <c r="E82" s="22">
        <f t="shared" si="109"/>
        <v>352.08049722959902</v>
      </c>
      <c r="F82" s="22">
        <f t="shared" si="110"/>
        <v>430.27858209873688</v>
      </c>
      <c r="G82" s="22">
        <f t="shared" si="101"/>
        <v>2142.1381586566717</v>
      </c>
      <c r="H82" s="248">
        <f>G81*H81/G82</f>
        <v>5.8966346306512856</v>
      </c>
      <c r="I82" s="5">
        <f t="shared" si="102"/>
        <v>1.7860697864865678</v>
      </c>
      <c r="J82" s="5">
        <f t="shared" si="108"/>
        <v>1.9454030928878057</v>
      </c>
      <c r="K82" s="16">
        <f t="shared" si="103"/>
        <v>3.4208900094619565</v>
      </c>
      <c r="L82" s="16">
        <f t="shared" si="111"/>
        <v>3.8627354882358311</v>
      </c>
      <c r="M82" s="5">
        <f t="shared" si="104"/>
        <v>1.5718724196806888</v>
      </c>
      <c r="N82" s="279"/>
      <c r="O82" s="280">
        <f t="shared" si="127"/>
        <v>7.1384417626943604</v>
      </c>
      <c r="P82" s="280">
        <f t="shared" si="128"/>
        <v>7.7380683709206215</v>
      </c>
      <c r="R82" s="273">
        <f>(C82-C81)/C$17</f>
        <v>757.57575757575762</v>
      </c>
      <c r="S82" s="277">
        <f>SUM(R$60:R82)/60</f>
        <v>194.15083238499219</v>
      </c>
      <c r="Y82" s="5">
        <f t="shared" si="112"/>
        <v>0.27292999999999995</v>
      </c>
      <c r="Z82" s="11">
        <f t="shared" si="113"/>
        <v>8.7247049999999984</v>
      </c>
      <c r="AA82" s="16">
        <f t="shared" si="114"/>
        <v>336.17348999999996</v>
      </c>
      <c r="AB82" s="11">
        <f t="shared" si="115"/>
        <v>38.531215668610002</v>
      </c>
      <c r="AC82" s="11">
        <f t="shared" si="116"/>
        <v>7.1181431102703607</v>
      </c>
      <c r="AD82" s="5"/>
      <c r="AE82" s="5">
        <f t="shared" si="117"/>
        <v>0.28685341884683768</v>
      </c>
      <c r="AF82" s="5">
        <f t="shared" si="118"/>
        <v>9.8708960300175441</v>
      </c>
      <c r="AG82" s="22">
        <f t="shared" si="119"/>
        <v>412.28585098014969</v>
      </c>
      <c r="AH82" s="11">
        <f t="shared" si="120"/>
        <v>41.767824291369514</v>
      </c>
      <c r="AI82" s="11">
        <f t="shared" si="121"/>
        <v>8.0250053992919064</v>
      </c>
      <c r="AJ82" s="16"/>
      <c r="AK82" s="5">
        <f t="shared" si="122"/>
        <v>0.14218781261373323</v>
      </c>
      <c r="AL82" s="5">
        <f t="shared" si="123"/>
        <v>0.14223751664523862</v>
      </c>
      <c r="AM82" s="10">
        <f t="shared" si="124"/>
        <v>0.27386731295212902</v>
      </c>
      <c r="AN82" s="5">
        <f t="shared" si="125"/>
        <v>1.1700533852216368</v>
      </c>
      <c r="AO82" s="5">
        <f t="shared" si="126"/>
        <v>0.24274039110400225</v>
      </c>
    </row>
    <row r="83" spans="1:41" ht="13.5" thickBot="1">
      <c r="A83" s="13" t="s">
        <v>49</v>
      </c>
      <c r="B83" s="13"/>
      <c r="C83" s="11">
        <f>$K$11/2-$K$8</f>
        <v>49.095123190246383</v>
      </c>
      <c r="D83" s="11">
        <f>$K$12/2-$K$8</f>
        <v>49.095123190246383</v>
      </c>
      <c r="E83" s="22">
        <f t="shared" si="109"/>
        <v>430.27858209873688</v>
      </c>
      <c r="F83" s="22">
        <f t="shared" si="110"/>
        <v>430.27858209873688</v>
      </c>
      <c r="G83" s="22">
        <f t="shared" si="101"/>
        <v>2298.5343283949474</v>
      </c>
      <c r="H83" s="248">
        <f>G82*H82/G83</f>
        <v>5.4954176206691434</v>
      </c>
      <c r="I83" s="5">
        <f t="shared" si="102"/>
        <v>1.6896726269476154</v>
      </c>
      <c r="J83" s="5">
        <f t="shared" si="108"/>
        <v>1.6896726269476154</v>
      </c>
      <c r="K83" s="16">
        <f t="shared" si="103"/>
        <v>3.3549645538615507</v>
      </c>
      <c r="L83" s="16">
        <f t="shared" si="111"/>
        <v>3.3549645538615507</v>
      </c>
      <c r="M83" s="5">
        <f t="shared" si="104"/>
        <v>1.6865698152440758</v>
      </c>
      <c r="N83" s="281"/>
      <c r="O83" s="282">
        <f t="shared" si="127"/>
        <v>8.3030172545144882</v>
      </c>
      <c r="P83" s="282">
        <f t="shared" si="128"/>
        <v>8.3030172545144882</v>
      </c>
      <c r="R83" s="273">
        <f>(C83-C82)/C$17</f>
        <v>620.47321064339144</v>
      </c>
      <c r="S83" s="277">
        <f>SUM(R$60:R83)/60</f>
        <v>204.49205256238204</v>
      </c>
      <c r="Y83" s="5">
        <f t="shared" si="112"/>
        <v>0.28685341884683768</v>
      </c>
      <c r="Z83" s="11">
        <f t="shared" si="113"/>
        <v>9.8708960300175441</v>
      </c>
      <c r="AA83" s="16">
        <f t="shared" si="114"/>
        <v>412.28585098014969</v>
      </c>
      <c r="AB83" s="11">
        <f t="shared" si="115"/>
        <v>41.767824291369514</v>
      </c>
      <c r="AC83" s="11">
        <f t="shared" si="116"/>
        <v>8.0250053992919064</v>
      </c>
      <c r="AD83" s="5"/>
      <c r="AE83" s="5">
        <f t="shared" si="117"/>
        <v>0.28685341884683768</v>
      </c>
      <c r="AF83" s="5">
        <f t="shared" si="118"/>
        <v>9.8708960300175441</v>
      </c>
      <c r="AG83" s="22">
        <f t="shared" si="119"/>
        <v>412.28585098014969</v>
      </c>
      <c r="AH83" s="11">
        <f t="shared" si="120"/>
        <v>41.767824291369514</v>
      </c>
      <c r="AI83" s="11">
        <f t="shared" si="121"/>
        <v>8.0250053992919064</v>
      </c>
      <c r="AJ83" s="16"/>
      <c r="AK83" s="5">
        <f t="shared" si="122"/>
        <v>0.13656763928156276</v>
      </c>
      <c r="AL83" s="5">
        <f t="shared" si="123"/>
        <v>0.13661746187639676</v>
      </c>
      <c r="AM83" s="5">
        <f t="shared" si="124"/>
        <v>0.27247545606653484</v>
      </c>
      <c r="AN83" s="5">
        <f t="shared" si="125"/>
        <v>1.1556348682512909</v>
      </c>
      <c r="AO83" s="5">
        <f t="shared" si="126"/>
        <v>0.24655001646245234</v>
      </c>
    </row>
    <row r="84" spans="1:41" ht="13.5" thickBot="1">
      <c r="A84" s="12" t="s">
        <v>55</v>
      </c>
      <c r="B84" s="13"/>
      <c r="C84" s="11">
        <f>$K$11/2-$K$8</f>
        <v>49.095123190246383</v>
      </c>
      <c r="D84" s="11">
        <f>$K$12/2-$K$8</f>
        <v>49.095123190246383</v>
      </c>
      <c r="E84" s="22">
        <f t="shared" si="109"/>
        <v>430.27858209873688</v>
      </c>
      <c r="F84" s="22">
        <f>((D84+$K$8-$K$10)^3-$K$8^3)*$K$4/3+((D84+$K$8)^3-(D84+$K$8-$K$10)^3)*$K$5/3+((D84+$K$8)^2-$K$8^2)*$K$6+((D84+$K$8-$K$10)^2-$K$8^2)*$K$7</f>
        <v>430.27858209873688</v>
      </c>
      <c r="G84" s="22">
        <f t="shared" si="101"/>
        <v>2298.5343283949474</v>
      </c>
      <c r="H84" s="520">
        <f>A$4</f>
        <v>5.5</v>
      </c>
      <c r="I84" s="5">
        <f t="shared" si="102"/>
        <v>1.6924916844271709</v>
      </c>
      <c r="J84" s="5">
        <f t="shared" si="108"/>
        <v>1.6924916844271709</v>
      </c>
      <c r="K84" s="16">
        <f t="shared" si="103"/>
        <v>3.3605619919500711</v>
      </c>
      <c r="L84" s="16">
        <f t="shared" si="111"/>
        <v>3.3605619919500711</v>
      </c>
      <c r="M84" s="5">
        <f t="shared" si="104"/>
        <v>1.6851654435053511</v>
      </c>
      <c r="N84" s="272"/>
      <c r="O84" s="282">
        <f t="shared" si="127"/>
        <v>8.2891876035894825</v>
      </c>
      <c r="P84" s="282">
        <f t="shared" si="128"/>
        <v>8.2891876035894825</v>
      </c>
      <c r="Q84" s="276"/>
      <c r="R84" s="276">
        <f>-((G84*H84-G83*H83)*2*PI()/60)/($E$17*$H$17)</f>
        <v>-0.53610646630855463</v>
      </c>
      <c r="S84" s="277">
        <f>SUM(R$60:R84)/60</f>
        <v>204.48311745461024</v>
      </c>
      <c r="Y84" s="5">
        <f t="shared" si="112"/>
        <v>0.28685341884683768</v>
      </c>
      <c r="Z84" s="11">
        <f t="shared" si="113"/>
        <v>9.8708960300175441</v>
      </c>
      <c r="AA84" s="16">
        <f t="shared" si="114"/>
        <v>412.28585098014969</v>
      </c>
      <c r="AB84" s="11">
        <f t="shared" si="115"/>
        <v>41.767824291369514</v>
      </c>
      <c r="AC84" s="11">
        <f t="shared" si="116"/>
        <v>8.0250053992919064</v>
      </c>
      <c r="AD84" s="5"/>
      <c r="AE84" s="5">
        <f t="shared" si="117"/>
        <v>0.28685341884683768</v>
      </c>
      <c r="AF84" s="5">
        <f t="shared" si="118"/>
        <v>9.8708960300175441</v>
      </c>
      <c r="AG84" s="22">
        <f t="shared" si="119"/>
        <v>412.28585098014969</v>
      </c>
      <c r="AH84" s="11">
        <f t="shared" si="120"/>
        <v>41.767824291369514</v>
      </c>
      <c r="AI84" s="11">
        <f t="shared" si="121"/>
        <v>8.0250053992919064</v>
      </c>
      <c r="AJ84" s="16"/>
      <c r="AK84" s="5">
        <f t="shared" si="122"/>
        <v>0.13656763928156276</v>
      </c>
      <c r="AL84" s="5">
        <f t="shared" si="123"/>
        <v>0.13661746187639676</v>
      </c>
      <c r="AM84" s="45">
        <f t="shared" si="124"/>
        <v>0.27247545606653484</v>
      </c>
      <c r="AN84" s="5">
        <f t="shared" si="125"/>
        <v>1.1556348682512909</v>
      </c>
      <c r="AO84" s="5">
        <f t="shared" si="126"/>
        <v>0.24655001646245234</v>
      </c>
    </row>
    <row r="86" spans="1:41">
      <c r="S86" s="291">
        <f>S84/60</f>
        <v>3.4080519575768373</v>
      </c>
      <c r="T86" s="292" t="s">
        <v>225</v>
      </c>
      <c r="U86" s="292"/>
      <c r="V86" s="292"/>
      <c r="W86" s="292"/>
      <c r="X86" s="292"/>
    </row>
  </sheetData>
  <phoneticPr fontId="9" type="noConversion"/>
  <printOptions gridLines="1"/>
  <pageMargins left="0.75" right="0.75" top="1" bottom="1" header="0.5" footer="0.5"/>
  <pageSetup scale="83" fitToHeight="0" orientation="portrait" horizontalDpi="1200" verticalDpi="1200" r:id="rId1"/>
  <headerFooter alignWithMargins="0">
    <oddFooter>&amp;L&amp;Z&amp;F
&amp;A&amp;C&amp;P of &amp;N&amp;R&amp;D, &amp;T</oddFooter>
  </headerFooter>
  <ignoredErrors>
    <ignoredError sqref="H35 A12:C12 H24:H30 H37:H38 H32:H33 E39:H39 E34:H34 H17 H46:H47 K8 H40 C17 H79:H84 H61:H67 H69:H72 H74:H77 H43:H44" unlockedFormula="1"/>
    <ignoredError sqref="R29 C37:D38 C40:C43 D40:D43 R33:R35 N31 C29:D33 C35:D36 R37:R40 R42:R43 C66:D79 R66:R67 R69:R73 R75:R77 R79:R80 C80" formula="1"/>
    <ignoredError sqref="C34:D34 C39:D39" formula="1" unlockedFormula="1"/>
  </ignoredErrors>
  <drawing r:id="rId2"/>
  <legacyDrawing r:id="rId3"/>
  <oleObjects>
    <oleObject progId="MSPhotoEd.3" shapeId="12297" r:id="rId4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AC55"/>
  <sheetViews>
    <sheetView zoomScaleNormal="100" workbookViewId="0"/>
  </sheetViews>
  <sheetFormatPr defaultColWidth="5.7109375" defaultRowHeight="12.75"/>
  <cols>
    <col min="1" max="33" width="6.28515625" customWidth="1"/>
  </cols>
  <sheetData>
    <row r="1" spans="1:29" ht="15.75">
      <c r="A1" s="293" t="s">
        <v>192</v>
      </c>
      <c r="B1" s="25"/>
      <c r="C1" s="25"/>
      <c r="D1" s="38" t="s">
        <v>143</v>
      </c>
    </row>
    <row r="2" spans="1:29" ht="13.5" thickBot="1">
      <c r="A2" s="195" t="s">
        <v>193</v>
      </c>
      <c r="B2" s="25"/>
      <c r="C2" s="25"/>
      <c r="D2" s="27"/>
      <c r="E2" s="195"/>
      <c r="F2" s="27"/>
      <c r="G2" s="27"/>
      <c r="H2" s="27"/>
      <c r="I2" s="27"/>
      <c r="J2" s="28"/>
      <c r="K2" s="28"/>
      <c r="L2" s="28"/>
      <c r="M2" s="25"/>
      <c r="N2" s="25"/>
      <c r="O2" s="25"/>
      <c r="P2" s="25"/>
      <c r="Q2" s="194"/>
      <c r="R2" s="363"/>
      <c r="T2" s="48"/>
      <c r="U2" s="48"/>
      <c r="V2" s="48"/>
      <c r="W2" s="48"/>
      <c r="X2" s="64" t="s">
        <v>144</v>
      </c>
      <c r="Y2" s="48"/>
      <c r="Z2" s="48"/>
      <c r="AA2" s="48"/>
      <c r="AB2" s="48"/>
      <c r="AC2" s="48"/>
    </row>
    <row r="3" spans="1:29" ht="13.5" thickBot="1">
      <c r="A3" s="43" t="s">
        <v>194</v>
      </c>
      <c r="B3" s="25"/>
      <c r="C3" s="25"/>
      <c r="D3" s="25"/>
      <c r="E3" s="25"/>
      <c r="F3" s="25"/>
      <c r="G3" s="25"/>
      <c r="H3" s="26" t="s">
        <v>358</v>
      </c>
      <c r="I3" s="27"/>
      <c r="J3" s="27"/>
      <c r="K3" s="27"/>
      <c r="L3" s="30"/>
      <c r="M3" s="26" t="s">
        <v>187</v>
      </c>
      <c r="N3" s="31"/>
      <c r="O3" s="25"/>
      <c r="P3" s="262" t="s">
        <v>186</v>
      </c>
      <c r="Q3" s="29"/>
      <c r="T3" s="48"/>
      <c r="U3" s="48"/>
      <c r="V3" s="48"/>
      <c r="W3" s="48"/>
      <c r="X3" s="108" t="s">
        <v>106</v>
      </c>
      <c r="Y3" s="108" t="s">
        <v>141</v>
      </c>
      <c r="Z3" s="48"/>
      <c r="AA3" s="48"/>
      <c r="AB3" s="48"/>
      <c r="AC3" s="48"/>
    </row>
    <row r="4" spans="1:29">
      <c r="A4" s="51">
        <f>'Summary &amp; ICD'!B94</f>
        <v>5.5</v>
      </c>
      <c r="B4" s="25" t="s">
        <v>146</v>
      </c>
      <c r="C4" s="25"/>
      <c r="D4" s="25"/>
      <c r="E4" s="25"/>
      <c r="F4" s="25"/>
      <c r="G4" s="25"/>
      <c r="H4" s="29" t="s">
        <v>2</v>
      </c>
      <c r="I4" s="27"/>
      <c r="J4" s="25"/>
      <c r="K4" s="256">
        <f>SPB!K4</f>
        <v>3.3999999999999998E-3</v>
      </c>
      <c r="L4" s="29" t="s">
        <v>3</v>
      </c>
      <c r="M4" s="32" t="s">
        <v>140</v>
      </c>
      <c r="N4" s="33"/>
      <c r="O4" s="25"/>
      <c r="P4" s="39">
        <v>14</v>
      </c>
      <c r="Q4" s="29"/>
      <c r="T4" s="48"/>
      <c r="U4" s="50"/>
      <c r="V4" s="50"/>
      <c r="W4" s="48"/>
      <c r="X4" s="242">
        <f>((P4-P5)/2-P6-P8)*39.37</f>
        <v>242.58151999999995</v>
      </c>
      <c r="Y4" s="288">
        <f>((P4-P5)/2-P6-P8)*39.37</f>
        <v>242.58151999999995</v>
      </c>
      <c r="Z4" s="114" t="s">
        <v>107</v>
      </c>
      <c r="AA4" s="48"/>
      <c r="AB4" s="48"/>
      <c r="AC4" s="48"/>
    </row>
    <row r="5" spans="1:29">
      <c r="A5" s="26" t="s">
        <v>155</v>
      </c>
      <c r="B5" s="25"/>
      <c r="C5" s="25"/>
      <c r="D5" s="25"/>
      <c r="E5" s="25"/>
      <c r="F5" s="25"/>
      <c r="G5" s="25"/>
      <c r="H5" s="32"/>
      <c r="I5" s="194"/>
      <c r="J5" s="33"/>
      <c r="K5" s="226"/>
      <c r="L5" s="32"/>
      <c r="M5" s="35" t="s">
        <v>68</v>
      </c>
      <c r="N5" s="25"/>
      <c r="O5" s="25"/>
      <c r="P5" s="40">
        <v>0.246</v>
      </c>
      <c r="Q5" s="262" t="s">
        <v>185</v>
      </c>
      <c r="R5" s="301"/>
      <c r="T5" s="48"/>
      <c r="U5" s="48"/>
      <c r="V5" s="48"/>
      <c r="W5" s="48"/>
      <c r="X5" s="117">
        <v>4.0000000000000001E-3</v>
      </c>
      <c r="Y5" s="118">
        <v>4.0000000000000001E-3</v>
      </c>
      <c r="Z5" s="114" t="s">
        <v>108</v>
      </c>
      <c r="AA5" s="48"/>
      <c r="AB5" s="48"/>
      <c r="AC5" s="48"/>
    </row>
    <row r="6" spans="1:29">
      <c r="A6" s="196">
        <f>'Summary &amp; ICD'!B96</f>
        <v>83.1</v>
      </c>
      <c r="B6" s="29" t="s">
        <v>0</v>
      </c>
      <c r="C6" s="196">
        <f>'Summary &amp; ICD'!D96</f>
        <v>42.125900000000001</v>
      </c>
      <c r="D6" s="29" t="s">
        <v>1</v>
      </c>
      <c r="E6" s="196">
        <f>'Summary &amp; ICD'!F96</f>
        <v>647</v>
      </c>
      <c r="F6" s="25"/>
      <c r="G6" s="25"/>
      <c r="H6" s="32"/>
      <c r="I6" s="194"/>
      <c r="J6" s="33"/>
      <c r="K6" s="226"/>
      <c r="L6" s="25"/>
      <c r="M6" s="35" t="s">
        <v>227</v>
      </c>
      <c r="N6" s="31"/>
      <c r="O6" s="25"/>
      <c r="P6" s="40">
        <v>0.38100000000000001</v>
      </c>
      <c r="Q6" s="40">
        <v>7.5999999999999998E-2</v>
      </c>
      <c r="R6" s="301"/>
      <c r="S6" s="299"/>
      <c r="T6" s="48"/>
      <c r="U6" s="48"/>
      <c r="V6" s="48"/>
      <c r="W6" s="48"/>
      <c r="X6" s="121">
        <v>5</v>
      </c>
      <c r="Y6" s="120">
        <v>5</v>
      </c>
      <c r="Z6" s="114" t="s">
        <v>109</v>
      </c>
      <c r="AA6" s="48"/>
      <c r="AB6" s="48"/>
      <c r="AC6" s="48"/>
    </row>
    <row r="7" spans="1:29">
      <c r="A7" s="34" t="s">
        <v>69</v>
      </c>
      <c r="B7" s="25"/>
      <c r="C7" s="27"/>
      <c r="D7" s="25"/>
      <c r="E7" s="25"/>
      <c r="F7" s="25"/>
      <c r="G7" s="25"/>
      <c r="H7" s="32"/>
      <c r="I7" s="194"/>
      <c r="J7" s="33"/>
      <c r="K7" s="226"/>
      <c r="L7" s="32"/>
      <c r="M7" s="35" t="s">
        <v>370</v>
      </c>
      <c r="N7" s="31"/>
      <c r="O7" s="25"/>
      <c r="P7" s="263" t="s">
        <v>188</v>
      </c>
      <c r="Q7" s="40">
        <v>2.8000000000000001E-2</v>
      </c>
      <c r="R7" s="301"/>
      <c r="T7" s="48"/>
      <c r="U7" s="48"/>
      <c r="V7" s="48"/>
      <c r="W7" s="48"/>
      <c r="X7" s="121">
        <v>0.7</v>
      </c>
      <c r="Y7" s="120">
        <v>0.7</v>
      </c>
      <c r="Z7" s="114" t="s">
        <v>110</v>
      </c>
      <c r="AA7" s="48"/>
      <c r="AB7" s="48"/>
      <c r="AC7" s="48"/>
    </row>
    <row r="8" spans="1:29">
      <c r="A8" s="196">
        <f>'Summary &amp; ICD'!B98</f>
        <v>240.90343705107756</v>
      </c>
      <c r="B8" s="43" t="s">
        <v>147</v>
      </c>
      <c r="C8" s="25"/>
      <c r="D8" s="196">
        <f>'Summary &amp; ICD'!E98</f>
        <v>359.7691313548404</v>
      </c>
      <c r="E8" s="44" t="s">
        <v>148</v>
      </c>
      <c r="F8" s="25"/>
      <c r="G8" s="29"/>
      <c r="H8" s="33"/>
      <c r="I8" s="33"/>
      <c r="J8" s="33"/>
      <c r="K8" s="226"/>
      <c r="L8" s="32"/>
      <c r="M8" s="31" t="s">
        <v>189</v>
      </c>
      <c r="N8" s="32"/>
      <c r="O8" s="32"/>
      <c r="P8" s="514">
        <f>13.166/39.37</f>
        <v>0.33441706883413769</v>
      </c>
      <c r="Q8" s="40">
        <v>7.0000000000000001E-3</v>
      </c>
      <c r="R8" s="301"/>
      <c r="T8" s="48"/>
      <c r="U8" s="48"/>
      <c r="V8" s="48"/>
      <c r="W8" s="48"/>
      <c r="X8" s="126">
        <v>54</v>
      </c>
      <c r="Y8" s="111">
        <v>54</v>
      </c>
      <c r="Z8" s="114" t="s">
        <v>111</v>
      </c>
      <c r="AA8" s="48"/>
      <c r="AB8" s="48"/>
      <c r="AC8" s="48"/>
    </row>
    <row r="9" spans="1:29">
      <c r="A9" s="34" t="s">
        <v>171</v>
      </c>
      <c r="B9" s="33"/>
      <c r="C9" s="33"/>
      <c r="D9" s="33"/>
      <c r="E9" s="186"/>
      <c r="F9" s="25"/>
      <c r="G9" s="25"/>
      <c r="H9" s="32"/>
      <c r="I9" s="194"/>
      <c r="J9" s="33"/>
      <c r="K9" s="226"/>
      <c r="L9" s="32"/>
      <c r="M9" s="41" t="s">
        <v>369</v>
      </c>
      <c r="N9" s="25"/>
      <c r="O9" s="25"/>
      <c r="P9" s="263" t="s">
        <v>188</v>
      </c>
      <c r="Q9" s="40">
        <v>0.04</v>
      </c>
      <c r="R9" s="301"/>
      <c r="T9" s="48"/>
      <c r="U9" s="48"/>
      <c r="V9" s="48"/>
      <c r="W9" s="48"/>
      <c r="X9" s="128">
        <v>0.8</v>
      </c>
      <c r="Y9" s="127">
        <v>0.8</v>
      </c>
      <c r="Z9" s="114" t="s">
        <v>112</v>
      </c>
      <c r="AA9" s="48"/>
      <c r="AB9" s="48"/>
      <c r="AC9" s="48"/>
    </row>
    <row r="10" spans="1:29">
      <c r="A10" s="51">
        <f>'Summary &amp; ICD'!B100</f>
        <v>35</v>
      </c>
      <c r="B10" s="33" t="s">
        <v>149</v>
      </c>
      <c r="C10" s="51">
        <f>'Summary &amp; ICD'!D100</f>
        <v>35</v>
      </c>
      <c r="D10" s="33" t="s">
        <v>150</v>
      </c>
      <c r="E10" s="33"/>
      <c r="F10" s="52"/>
      <c r="G10" s="25"/>
      <c r="H10" s="32"/>
      <c r="I10" s="194"/>
      <c r="J10" s="33"/>
      <c r="K10" s="226"/>
      <c r="L10" s="32"/>
      <c r="M10" s="41" t="s">
        <v>214</v>
      </c>
      <c r="N10" s="31"/>
      <c r="O10" s="25"/>
      <c r="P10" s="37">
        <f>S48-S30</f>
        <v>42.674996185653768</v>
      </c>
      <c r="Q10" s="29" t="s">
        <v>5</v>
      </c>
      <c r="T10" s="48"/>
      <c r="U10" s="48"/>
      <c r="V10" s="48"/>
      <c r="W10" s="48"/>
      <c r="X10" s="287">
        <f>SUM(Q6:Q9)/0.4536</f>
        <v>0.33289241622574955</v>
      </c>
      <c r="Y10" s="289">
        <f>SUM(Q6:Q9)/0.4536</f>
        <v>0.33289241622574955</v>
      </c>
      <c r="Z10" s="114" t="s">
        <v>113</v>
      </c>
      <c r="AA10" s="48"/>
      <c r="AB10" s="48"/>
      <c r="AC10" s="48"/>
    </row>
    <row r="11" spans="1:29">
      <c r="A11" s="34" t="s">
        <v>153</v>
      </c>
      <c r="B11" s="33"/>
      <c r="C11" s="33"/>
      <c r="D11" s="52"/>
      <c r="E11" s="52"/>
      <c r="F11" s="228" t="s">
        <v>152</v>
      </c>
      <c r="G11" s="33"/>
      <c r="H11" s="32"/>
      <c r="I11" s="194"/>
      <c r="J11" s="33"/>
      <c r="K11" s="227"/>
      <c r="L11" s="32"/>
      <c r="M11" s="41" t="s">
        <v>172</v>
      </c>
      <c r="N11" s="31"/>
      <c r="O11" s="25"/>
      <c r="P11" s="37">
        <f>Y29</f>
        <v>49.827299230942991</v>
      </c>
      <c r="Q11" s="29" t="s">
        <v>5</v>
      </c>
      <c r="S11" s="2" t="s">
        <v>177</v>
      </c>
      <c r="T11" s="48"/>
      <c r="U11" s="48"/>
      <c r="V11" s="48"/>
      <c r="W11" s="48"/>
      <c r="X11" s="264">
        <f>K4</f>
        <v>3.3999999999999998E-3</v>
      </c>
      <c r="Y11" s="264">
        <f>K4</f>
        <v>3.3999999999999998E-3</v>
      </c>
      <c r="Z11" s="265" t="s">
        <v>114</v>
      </c>
      <c r="AA11" s="48"/>
      <c r="AB11" s="48"/>
      <c r="AC11" s="48"/>
    </row>
    <row r="12" spans="1:29">
      <c r="A12" s="196">
        <f>'Summary &amp; ICD'!B102</f>
        <v>460.04</v>
      </c>
      <c r="B12" s="33" t="s">
        <v>149</v>
      </c>
      <c r="C12" s="51">
        <f>'Summary &amp; ICD'!D102</f>
        <v>577.41999999999996</v>
      </c>
      <c r="D12" s="33" t="s">
        <v>150</v>
      </c>
      <c r="E12" s="186"/>
      <c r="F12" s="233">
        <f>'Summary &amp; ICD'!G102</f>
        <v>0.16396954990787349</v>
      </c>
      <c r="G12" s="32"/>
      <c r="H12" s="32"/>
      <c r="I12" s="36"/>
      <c r="J12" s="33"/>
      <c r="K12" s="186"/>
      <c r="L12" s="32"/>
      <c r="M12" s="25" t="s">
        <v>174</v>
      </c>
      <c r="N12" s="25"/>
      <c r="O12" s="25"/>
      <c r="P12" s="37">
        <f>SPB!P12</f>
        <v>16.050010798583813</v>
      </c>
      <c r="Q12" s="29" t="s">
        <v>5</v>
      </c>
      <c r="S12" s="53"/>
      <c r="T12" s="54"/>
      <c r="U12" s="53"/>
      <c r="V12" s="53"/>
      <c r="W12" s="48"/>
      <c r="X12" s="130">
        <f>PI()*X7*TAN(PI()*X8/180)</f>
        <v>3.0268219309202342</v>
      </c>
      <c r="Y12" s="130">
        <f>PI()*Y7*TAN(PI()*Y8/180)</f>
        <v>3.0268219309202342</v>
      </c>
      <c r="Z12" s="114" t="s">
        <v>115</v>
      </c>
      <c r="AA12" s="48"/>
      <c r="AB12" s="48"/>
      <c r="AC12" s="48"/>
    </row>
    <row r="13" spans="1:29">
      <c r="A13" s="229"/>
      <c r="B13" s="109"/>
      <c r="C13" s="109"/>
      <c r="D13" s="230"/>
      <c r="E13" s="230"/>
      <c r="F13" s="230"/>
      <c r="G13" s="144"/>
      <c r="H13" s="144"/>
      <c r="I13" s="231"/>
      <c r="J13" s="147"/>
      <c r="K13" s="232"/>
      <c r="L13" s="144"/>
      <c r="S13" s="20"/>
      <c r="T13" s="20"/>
      <c r="U13" s="20"/>
      <c r="V13" s="20"/>
      <c r="W13" s="48"/>
      <c r="X13" s="131">
        <f>X4/X12</f>
        <v>80.143968008798169</v>
      </c>
      <c r="Y13" s="131">
        <f>Y4/Y12</f>
        <v>80.143968008798169</v>
      </c>
      <c r="Z13" s="114" t="s">
        <v>117</v>
      </c>
      <c r="AA13" s="48"/>
      <c r="AB13" s="48"/>
      <c r="AC13" s="48"/>
    </row>
    <row r="14" spans="1:29" ht="16.5" thickBot="1">
      <c r="A14" s="285" t="s">
        <v>212</v>
      </c>
      <c r="B14" s="48"/>
      <c r="C14" s="48"/>
      <c r="D14" s="79"/>
      <c r="E14" s="105"/>
      <c r="F14" s="103"/>
      <c r="G14" s="91"/>
      <c r="I14" s="57" t="s">
        <v>72</v>
      </c>
      <c r="J14" s="103"/>
      <c r="K14" s="91"/>
      <c r="L14" s="106"/>
      <c r="M14" s="56"/>
      <c r="N14" s="56"/>
      <c r="O14" s="86"/>
      <c r="P14" s="58" t="s">
        <v>73</v>
      </c>
      <c r="Q14" s="56"/>
      <c r="R14" s="56"/>
      <c r="T14" s="86"/>
      <c r="U14" s="86"/>
      <c r="V14" s="24"/>
      <c r="W14" s="48"/>
      <c r="X14" s="132">
        <f>X7+X9*2*X13*X5</f>
        <v>1.2129213952563083</v>
      </c>
      <c r="Y14" s="132">
        <f>Y7+Y9*2*Y13*Y5</f>
        <v>1.2129213952563083</v>
      </c>
      <c r="Z14" s="114" t="s">
        <v>118</v>
      </c>
      <c r="AA14" s="48"/>
      <c r="AB14" s="48"/>
      <c r="AC14" s="48"/>
    </row>
    <row r="15" spans="1:29" ht="13.5" thickBot="1">
      <c r="A15" s="107"/>
      <c r="B15" s="107"/>
      <c r="C15" s="48"/>
      <c r="D15" s="59"/>
      <c r="E15" s="60"/>
      <c r="F15" s="61"/>
      <c r="G15" s="62"/>
      <c r="H15" s="62"/>
      <c r="I15" s="62"/>
      <c r="J15" s="62"/>
      <c r="K15" s="62"/>
      <c r="L15" s="62"/>
      <c r="M15" s="207" t="s">
        <v>79</v>
      </c>
      <c r="N15" s="171"/>
      <c r="O15" s="171"/>
      <c r="P15" s="207" t="s">
        <v>74</v>
      </c>
      <c r="Q15" s="208"/>
      <c r="R15" s="209"/>
      <c r="S15" s="199" t="s">
        <v>157</v>
      </c>
      <c r="T15" s="200"/>
      <c r="U15" s="201"/>
      <c r="V15" s="48"/>
      <c r="W15" s="48"/>
      <c r="X15" s="133">
        <f>ATAN(X12/PI()/X14)*180/PI()</f>
        <v>38.461386970868375</v>
      </c>
      <c r="Y15" s="133">
        <f>ATAN(Y12/PI()/Y14)*180/PI()</f>
        <v>38.461386970868375</v>
      </c>
      <c r="Z15" s="114" t="s">
        <v>119</v>
      </c>
      <c r="AA15" s="48"/>
      <c r="AB15" s="48"/>
      <c r="AC15" s="48"/>
    </row>
    <row r="16" spans="1:29">
      <c r="A16" s="109"/>
      <c r="B16" s="110"/>
      <c r="C16" s="55"/>
      <c r="D16" s="72"/>
      <c r="E16" s="65" t="s">
        <v>75</v>
      </c>
      <c r="F16" s="66" t="s">
        <v>76</v>
      </c>
      <c r="G16" s="67" t="s">
        <v>77</v>
      </c>
      <c r="H16" s="68"/>
      <c r="I16" s="68"/>
      <c r="J16" s="67" t="s">
        <v>78</v>
      </c>
      <c r="K16" s="68"/>
      <c r="L16" s="68"/>
      <c r="M16" s="220"/>
      <c r="N16" s="68"/>
      <c r="O16" s="68"/>
      <c r="P16" s="70" t="s">
        <v>80</v>
      </c>
      <c r="Q16" s="69" t="s">
        <v>81</v>
      </c>
      <c r="R16" s="71" t="s">
        <v>82</v>
      </c>
      <c r="S16" s="202" t="s">
        <v>158</v>
      </c>
      <c r="T16" s="8"/>
      <c r="U16" s="203"/>
      <c r="V16" s="86"/>
      <c r="W16" s="48"/>
      <c r="X16" s="134">
        <f>1-(X12/X6)*COS(ATAN(X12/(PI()*X14)))</f>
        <v>0.52598303388331868</v>
      </c>
      <c r="Y16" s="134">
        <f>1-(Y12/Y6)*COS(ATAN(Y12/(PI()*Y14)))</f>
        <v>0.52598303388331868</v>
      </c>
      <c r="Z16" s="114" t="s">
        <v>120</v>
      </c>
      <c r="AA16" s="48"/>
      <c r="AB16" s="48"/>
      <c r="AC16" s="48"/>
    </row>
    <row r="17" spans="1:29">
      <c r="A17" s="109"/>
      <c r="B17" s="110"/>
      <c r="C17" s="55"/>
      <c r="D17" s="116"/>
      <c r="E17" s="73"/>
      <c r="F17" s="74"/>
      <c r="G17" s="75" t="s">
        <v>84</v>
      </c>
      <c r="H17" s="75" t="s">
        <v>85</v>
      </c>
      <c r="I17" s="75" t="s">
        <v>86</v>
      </c>
      <c r="J17" s="76" t="s">
        <v>87</v>
      </c>
      <c r="K17" s="76" t="s">
        <v>88</v>
      </c>
      <c r="L17" s="76" t="s">
        <v>89</v>
      </c>
      <c r="M17" s="73" t="s">
        <v>90</v>
      </c>
      <c r="N17" s="75" t="s">
        <v>91</v>
      </c>
      <c r="O17" s="75" t="s">
        <v>92</v>
      </c>
      <c r="P17" s="198" t="s">
        <v>93</v>
      </c>
      <c r="Q17" s="77" t="s">
        <v>94</v>
      </c>
      <c r="R17" s="206" t="s">
        <v>95</v>
      </c>
      <c r="S17" s="78"/>
      <c r="T17" s="204" t="s">
        <v>159</v>
      </c>
      <c r="U17" s="203"/>
      <c r="V17" s="86"/>
      <c r="W17" s="48"/>
      <c r="X17" s="133">
        <f>(0.25*PI()/(X9*X5))*((X14^2/COS(PI()*X15/180))-(X7^2/COS(PI()*X8/180))+(X12/PI())^2*LN((X14/X7)*(1+1/COS(PI()*X15/180))/(1+1/COS(PI()*X8/180))))</f>
        <v>342.84890916768251</v>
      </c>
      <c r="Y17" s="133">
        <f>(0.25*PI()/(Y9*Y5))*((Y14^2/COS(PI()*Y15/180))-(Y7^2/COS(PI()*Y8/180))+(Y12/PI())^2*LN((Y14/Y7)*(1+1/COS(PI()*Y15/180))/(1+1/COS(PI()*Y8/180))))</f>
        <v>342.84890916768251</v>
      </c>
      <c r="Z17" s="114" t="s">
        <v>121</v>
      </c>
      <c r="AA17" s="48"/>
      <c r="AB17" s="48"/>
      <c r="AC17" s="56"/>
    </row>
    <row r="18" spans="1:29">
      <c r="A18" s="119"/>
      <c r="B18" s="107"/>
      <c r="C18" s="48"/>
      <c r="D18" s="184"/>
      <c r="E18" s="73" t="s">
        <v>96</v>
      </c>
      <c r="F18" s="74"/>
      <c r="G18" s="75" t="s">
        <v>97</v>
      </c>
      <c r="H18" s="80"/>
      <c r="I18" s="80"/>
      <c r="J18" s="75" t="s">
        <v>97</v>
      </c>
      <c r="K18" s="80"/>
      <c r="L18" s="80"/>
      <c r="M18" s="221"/>
      <c r="N18" s="215" t="s">
        <v>98</v>
      </c>
      <c r="O18" s="216"/>
      <c r="P18" s="217"/>
      <c r="Q18" s="218" t="s">
        <v>99</v>
      </c>
      <c r="R18" s="219"/>
      <c r="S18" s="218"/>
      <c r="T18" s="218" t="s">
        <v>99</v>
      </c>
      <c r="U18" s="205" t="s">
        <v>160</v>
      </c>
      <c r="V18" s="68"/>
      <c r="W18" s="48"/>
      <c r="X18" s="523">
        <f>1.012/0.4536</f>
        <v>2.2310405643738975</v>
      </c>
      <c r="Y18" s="523">
        <f>1.012/0.4536</f>
        <v>2.2310405643738975</v>
      </c>
      <c r="Z18" s="114" t="s">
        <v>122</v>
      </c>
      <c r="AA18" s="48"/>
      <c r="AB18" s="48"/>
      <c r="AC18" s="56"/>
    </row>
    <row r="19" spans="1:29">
      <c r="A19" s="48" t="s">
        <v>142</v>
      </c>
      <c r="B19" s="48"/>
      <c r="C19" s="2"/>
      <c r="D19" s="79"/>
      <c r="E19" s="122">
        <f>X18*0.4536+X11*I37</f>
        <v>1.0329493819659639</v>
      </c>
      <c r="F19" s="235" t="s">
        <v>163</v>
      </c>
      <c r="G19" s="249">
        <f>1.92/39.37</f>
        <v>4.8768097536195071E-2</v>
      </c>
      <c r="H19" s="249">
        <f>1.91/39.37</f>
        <v>4.8514097028194057E-2</v>
      </c>
      <c r="I19" s="81">
        <f>X6/39.37</f>
        <v>0.12700025400050802</v>
      </c>
      <c r="J19" s="123">
        <v>0</v>
      </c>
      <c r="K19" s="123">
        <v>0</v>
      </c>
      <c r="L19" s="81">
        <f>P5-(X6/2)/39.37</f>
        <v>0.18249987299974599</v>
      </c>
      <c r="M19" s="211">
        <f t="shared" ref="M19:M28" si="0">$E19*J19</f>
        <v>0</v>
      </c>
      <c r="N19" s="210">
        <f t="shared" ref="N19:N28" si="1">$E19*K19</f>
        <v>0</v>
      </c>
      <c r="O19" s="257">
        <f t="shared" ref="O19:O28" si="2">$E19*L19</f>
        <v>0.18851313102395451</v>
      </c>
      <c r="P19" s="213">
        <f t="shared" ref="P19:Q28" si="3">$E19*(($G19^2+$H19^2)/16+$I19^2/12)</f>
        <v>1.6938668275546832E-3</v>
      </c>
      <c r="Q19" s="212">
        <f t="shared" si="3"/>
        <v>1.6938668275546832E-3</v>
      </c>
      <c r="R19" s="214">
        <f t="shared" ref="R19:R28" si="4">E19*(G19^2+H19^2)/8</f>
        <v>6.109824511608186E-4</v>
      </c>
      <c r="S19" s="212">
        <f t="shared" ref="S19:S28" si="5">P19+$E19*((K19-K$48)^2+(L19-L$48)^2)</f>
        <v>3.6097489298210855E-2</v>
      </c>
      <c r="T19" s="212">
        <f t="shared" ref="T19:T28" si="6">Q19+$E19*((J19-J$48)^2+(L19-L$48)^2)</f>
        <v>3.6097489298210855E-2</v>
      </c>
      <c r="U19" s="214">
        <f t="shared" ref="U19:U28" si="7">R19+$E19*((J19-J$48)^2+(K19-K$48)^2)</f>
        <v>6.109824511608186E-4</v>
      </c>
      <c r="V19" s="8"/>
      <c r="W19" s="48"/>
      <c r="X19" s="130"/>
      <c r="Y19" s="130"/>
      <c r="Z19" s="136" t="s">
        <v>123</v>
      </c>
      <c r="AA19" s="48"/>
      <c r="AB19" s="48"/>
      <c r="AC19" s="115"/>
    </row>
    <row r="20" spans="1:29">
      <c r="A20" s="48" t="s">
        <v>190</v>
      </c>
      <c r="B20" s="48"/>
      <c r="C20" s="48"/>
      <c r="D20" s="79"/>
      <c r="E20" s="122">
        <f>Q6</f>
        <v>7.5999999999999998E-2</v>
      </c>
      <c r="F20" s="235" t="s">
        <v>163</v>
      </c>
      <c r="G20" s="249">
        <f>0.7/39.37</f>
        <v>1.7780035560071121E-2</v>
      </c>
      <c r="H20" s="249">
        <f>0.66/39.37</f>
        <v>1.6764033528067056E-2</v>
      </c>
      <c r="I20" s="81">
        <f>P6</f>
        <v>0.38100000000000001</v>
      </c>
      <c r="J20" s="123">
        <v>0</v>
      </c>
      <c r="K20" s="123">
        <v>0</v>
      </c>
      <c r="L20" s="81">
        <f>P5+I20/2</f>
        <v>0.4365</v>
      </c>
      <c r="M20" s="124">
        <f t="shared" si="0"/>
        <v>0</v>
      </c>
      <c r="N20" s="125">
        <f t="shared" si="1"/>
        <v>0</v>
      </c>
      <c r="O20" s="258">
        <f t="shared" si="2"/>
        <v>3.3174000000000002E-2</v>
      </c>
      <c r="P20" s="82">
        <f t="shared" si="3"/>
        <v>9.2218952180207596E-4</v>
      </c>
      <c r="Q20" s="83">
        <f t="shared" si="3"/>
        <v>9.2218952180207596E-4</v>
      </c>
      <c r="R20" s="84">
        <f t="shared" si="4"/>
        <v>5.6730436041517247E-6</v>
      </c>
      <c r="S20" s="83">
        <f t="shared" si="5"/>
        <v>1.5402640521802074E-2</v>
      </c>
      <c r="T20" s="212">
        <f t="shared" si="6"/>
        <v>1.5402640521802074E-2</v>
      </c>
      <c r="U20" s="84">
        <f t="shared" si="7"/>
        <v>5.6730436041517247E-6</v>
      </c>
      <c r="V20" s="8"/>
      <c r="W20" s="48"/>
      <c r="X20" s="130">
        <f>X14/((1.5*X14/(X7-X14))*(1-2*X14/(X7-X14)+2*(X14/(X7-X14))^2*LN(1+(X7-X14)/X14)))^0.3333</f>
        <v>1.0633607047030016</v>
      </c>
      <c r="Y20" s="130">
        <f>Y14/((1.5*Y14/(Y7-Y14))*(1-2*Y14/(Y7-Y14)+2*(Y14/(Y7-Y14))^2*LN(1+(Y7-Y14)/Y14)))^0.3333</f>
        <v>1.0633607047030016</v>
      </c>
      <c r="Z20" s="114" t="s">
        <v>124</v>
      </c>
      <c r="AA20" s="48"/>
      <c r="AB20" s="48"/>
      <c r="AC20" s="48"/>
    </row>
    <row r="21" spans="1:29" ht="14.25">
      <c r="A21" s="48" t="s">
        <v>228</v>
      </c>
      <c r="B21" s="48"/>
      <c r="C21" s="129"/>
      <c r="D21" s="79"/>
      <c r="E21" s="122">
        <f>Q7</f>
        <v>2.8000000000000001E-2</v>
      </c>
      <c r="F21" s="235" t="s">
        <v>163</v>
      </c>
      <c r="G21" s="249">
        <f>2/39.37</f>
        <v>5.0800101600203207E-2</v>
      </c>
      <c r="H21" s="249">
        <v>0</v>
      </c>
      <c r="I21" s="249">
        <f>2/39.37</f>
        <v>5.0800101600203207E-2</v>
      </c>
      <c r="J21" s="123">
        <v>0</v>
      </c>
      <c r="K21" s="123">
        <v>0</v>
      </c>
      <c r="L21" s="81">
        <f>P5+P6</f>
        <v>0.627</v>
      </c>
      <c r="M21" s="124">
        <f t="shared" si="0"/>
        <v>0</v>
      </c>
      <c r="N21" s="125">
        <f t="shared" si="1"/>
        <v>0</v>
      </c>
      <c r="O21" s="258">
        <f t="shared" si="2"/>
        <v>1.7555999999999999E-2</v>
      </c>
      <c r="P21" s="82">
        <f t="shared" si="3"/>
        <v>1.053765548391312E-5</v>
      </c>
      <c r="Q21" s="83">
        <f t="shared" si="3"/>
        <v>1.053765548391312E-5</v>
      </c>
      <c r="R21" s="84">
        <f t="shared" si="4"/>
        <v>9.0322761290683895E-6</v>
      </c>
      <c r="S21" s="83">
        <f t="shared" si="5"/>
        <v>1.1018149655483913E-2</v>
      </c>
      <c r="T21" s="212">
        <f t="shared" si="6"/>
        <v>1.1018149655483913E-2</v>
      </c>
      <c r="U21" s="84">
        <f t="shared" si="7"/>
        <v>9.0322761290683895E-6</v>
      </c>
      <c r="V21" s="202"/>
      <c r="W21" s="48"/>
      <c r="X21" s="137">
        <f>0.5*29000000*PI()*X20^3*X5/(8*(1-X16))</f>
        <v>57774.449388392059</v>
      </c>
      <c r="Y21" s="137">
        <f>0.5*29000000*PI()*Y20^3*Y5/(8*(1-Y16))</f>
        <v>57774.449388392059</v>
      </c>
      <c r="Z21" s="114" t="s">
        <v>125</v>
      </c>
      <c r="AA21" s="48"/>
      <c r="AB21" s="48"/>
      <c r="AC21" s="48"/>
    </row>
    <row r="22" spans="1:29">
      <c r="A22" s="85" t="s">
        <v>191</v>
      </c>
      <c r="B22" s="48"/>
      <c r="C22" s="48"/>
      <c r="D22" s="79"/>
      <c r="E22" s="122">
        <f>Q8</f>
        <v>7.0000000000000001E-3</v>
      </c>
      <c r="F22" s="235" t="s">
        <v>163</v>
      </c>
      <c r="G22" s="249">
        <f>0.125/39.37</f>
        <v>3.1750063500127004E-3</v>
      </c>
      <c r="H22" s="249">
        <f>0.115/39.37</f>
        <v>2.9210058420116843E-3</v>
      </c>
      <c r="I22" s="81">
        <f>P8</f>
        <v>0.33441706883413769</v>
      </c>
      <c r="J22" s="123">
        <f>P8/2</f>
        <v>0.16720853441706884</v>
      </c>
      <c r="K22" s="123">
        <v>0</v>
      </c>
      <c r="L22" s="81">
        <f>P5+P6</f>
        <v>0.627</v>
      </c>
      <c r="M22" s="294">
        <f t="shared" si="0"/>
        <v>1.170459740919482E-3</v>
      </c>
      <c r="N22" s="125">
        <f t="shared" si="1"/>
        <v>0</v>
      </c>
      <c r="O22" s="258">
        <f t="shared" si="2"/>
        <v>4.3889999999999997E-3</v>
      </c>
      <c r="P22" s="82">
        <f t="shared" si="3"/>
        <v>6.5245095785890507E-5</v>
      </c>
      <c r="Q22" s="83">
        <f t="shared" si="3"/>
        <v>6.5245095785890507E-5</v>
      </c>
      <c r="R22" s="84">
        <f t="shared" si="4"/>
        <v>1.6286322895226443E-8</v>
      </c>
      <c r="S22" s="83">
        <f t="shared" si="5"/>
        <v>2.8171480957858903E-3</v>
      </c>
      <c r="T22" s="212">
        <f t="shared" si="6"/>
        <v>3.0128589536592191E-3</v>
      </c>
      <c r="U22" s="84">
        <f t="shared" si="7"/>
        <v>1.957271441962239E-4</v>
      </c>
      <c r="V22" s="86"/>
      <c r="W22" s="48"/>
      <c r="X22" s="130">
        <f>12*(3*PI()/16)*(29000000*X5/(1-X16))*(X20/X4)^3</f>
        <v>0.14570188719935934</v>
      </c>
      <c r="Y22" s="130">
        <f>12*(3*PI()/16)*(29000000*Y5/(1-Y16))*(Y20/Y4)^3</f>
        <v>0.14570188719935934</v>
      </c>
      <c r="Z22" s="114" t="s">
        <v>126</v>
      </c>
      <c r="AA22" s="48"/>
      <c r="AB22" s="48"/>
      <c r="AC22" s="48"/>
    </row>
    <row r="23" spans="1:29" ht="13.5" thickBot="1">
      <c r="A23" s="85" t="s">
        <v>183</v>
      </c>
      <c r="B23" s="48"/>
      <c r="C23" s="48"/>
      <c r="D23" s="64"/>
      <c r="E23" s="122">
        <f>Q9</f>
        <v>0.04</v>
      </c>
      <c r="F23" s="236" t="s">
        <v>163</v>
      </c>
      <c r="G23" s="250">
        <f>1.57/39.37</f>
        <v>3.9878079756159514E-2</v>
      </c>
      <c r="H23" s="250">
        <f>1.55/39.37</f>
        <v>3.9370078740157487E-2</v>
      </c>
      <c r="I23" s="250">
        <f>1.57/39.37</f>
        <v>3.9878079756159514E-2</v>
      </c>
      <c r="J23" s="161">
        <f>P8</f>
        <v>0.33441706883413769</v>
      </c>
      <c r="K23" s="162">
        <v>0</v>
      </c>
      <c r="L23" s="161">
        <f>P5+P6</f>
        <v>0.627</v>
      </c>
      <c r="M23" s="296">
        <f>$E23*J23</f>
        <v>1.3376682753365508E-2</v>
      </c>
      <c r="N23" s="164">
        <f t="shared" si="1"/>
        <v>0</v>
      </c>
      <c r="O23" s="259">
        <f t="shared" si="2"/>
        <v>2.5080000000000002E-2</v>
      </c>
      <c r="P23" s="160">
        <f t="shared" si="3"/>
        <v>1.3151531679407447E-5</v>
      </c>
      <c r="Q23" s="298">
        <f t="shared" si="3"/>
        <v>1.3151531679407447E-5</v>
      </c>
      <c r="R23" s="135">
        <f t="shared" si="4"/>
        <v>1.5701321725224099E-5</v>
      </c>
      <c r="S23" s="166">
        <f t="shared" si="5"/>
        <v>1.573831153167941E-2</v>
      </c>
      <c r="T23" s="86">
        <f t="shared" si="6"/>
        <v>2.0211702568784067E-2</v>
      </c>
      <c r="U23" s="165">
        <f t="shared" si="7"/>
        <v>4.48909235882988E-3</v>
      </c>
      <c r="V23" s="86"/>
      <c r="W23" s="48"/>
      <c r="X23" s="113">
        <f>(30/PI())*SQRT(32.174*X22/(X10+0.4536*X11*X4/39.37+(4/17)*(X18)))</f>
        <v>22.200377795584942</v>
      </c>
      <c r="Y23" s="113">
        <f>(30/PI())*SQRT(32.174*Y22/(Y10+0.4536*Y11*Y4/39.37+(4/17)*(Y18)))</f>
        <v>22.200377795584942</v>
      </c>
      <c r="Z23" s="114" t="s">
        <v>127</v>
      </c>
      <c r="AA23" s="48"/>
      <c r="AB23" s="48"/>
      <c r="AC23" s="48"/>
    </row>
    <row r="24" spans="1:29" ht="13.5" thickBot="1">
      <c r="A24" s="48" t="s">
        <v>116</v>
      </c>
      <c r="B24" s="48"/>
      <c r="C24" s="2"/>
      <c r="D24" s="79"/>
      <c r="E24" s="167">
        <f>0.4536*Y18+Y11*I37</f>
        <v>1.0329493819659639</v>
      </c>
      <c r="F24" s="237" t="s">
        <v>163</v>
      </c>
      <c r="G24" s="251">
        <f t="shared" ref="G24:I28" si="8">G19</f>
        <v>4.8768097536195071E-2</v>
      </c>
      <c r="H24" s="168">
        <f t="shared" si="8"/>
        <v>4.8514097028194057E-2</v>
      </c>
      <c r="I24" s="168">
        <f t="shared" si="8"/>
        <v>0.12700025400050802</v>
      </c>
      <c r="J24" s="169">
        <v>0</v>
      </c>
      <c r="K24" s="169">
        <v>0</v>
      </c>
      <c r="L24" s="252">
        <f>-L19</f>
        <v>-0.18249987299974599</v>
      </c>
      <c r="M24" s="170">
        <f t="shared" si="0"/>
        <v>0</v>
      </c>
      <c r="N24" s="171">
        <f t="shared" si="1"/>
        <v>0</v>
      </c>
      <c r="O24" s="260">
        <f t="shared" si="2"/>
        <v>-0.18851313102395451</v>
      </c>
      <c r="P24" s="174">
        <f t="shared" si="3"/>
        <v>1.6938668275546832E-3</v>
      </c>
      <c r="Q24" s="173">
        <f t="shared" si="3"/>
        <v>1.6938668275546832E-3</v>
      </c>
      <c r="R24" s="172">
        <f t="shared" si="4"/>
        <v>6.109824511608186E-4</v>
      </c>
      <c r="S24" s="174">
        <f t="shared" si="5"/>
        <v>3.6097489298210855E-2</v>
      </c>
      <c r="T24" s="173">
        <f t="shared" si="6"/>
        <v>3.6097489298210855E-2</v>
      </c>
      <c r="U24" s="172">
        <f t="shared" si="7"/>
        <v>6.109824511608186E-4</v>
      </c>
      <c r="V24" s="86"/>
      <c r="W24" s="48"/>
      <c r="X24" s="138">
        <f>29000000*X14*X5^2/(45*(1-X16))</f>
        <v>26.384218645146909</v>
      </c>
      <c r="Y24" s="138">
        <f>29000000*Y14*Y5^2/(45*(1-Y16))</f>
        <v>26.384218645146909</v>
      </c>
      <c r="Z24" s="114" t="s">
        <v>128</v>
      </c>
      <c r="AA24" s="48"/>
      <c r="AB24" s="48"/>
      <c r="AC24" s="48"/>
    </row>
    <row r="25" spans="1:29">
      <c r="A25" s="48" t="s">
        <v>196</v>
      </c>
      <c r="B25" s="48"/>
      <c r="C25" s="48"/>
      <c r="D25" s="79"/>
      <c r="E25" s="122">
        <f>E20</f>
        <v>7.5999999999999998E-2</v>
      </c>
      <c r="F25" s="235" t="s">
        <v>163</v>
      </c>
      <c r="G25" s="253">
        <f t="shared" si="8"/>
        <v>1.7780035560071121E-2</v>
      </c>
      <c r="H25" s="81">
        <f t="shared" si="8"/>
        <v>1.6764033528067056E-2</v>
      </c>
      <c r="I25" s="81">
        <f t="shared" si="8"/>
        <v>0.38100000000000001</v>
      </c>
      <c r="J25" s="123">
        <v>0</v>
      </c>
      <c r="K25" s="123">
        <v>0</v>
      </c>
      <c r="L25" s="81">
        <f>-L20</f>
        <v>-0.4365</v>
      </c>
      <c r="M25" s="124">
        <f t="shared" si="0"/>
        <v>0</v>
      </c>
      <c r="N25" s="125">
        <f t="shared" si="1"/>
        <v>0</v>
      </c>
      <c r="O25" s="258">
        <f t="shared" si="2"/>
        <v>-3.3174000000000002E-2</v>
      </c>
      <c r="P25" s="82">
        <f t="shared" si="3"/>
        <v>9.2218952180207596E-4</v>
      </c>
      <c r="Q25" s="83">
        <f t="shared" si="3"/>
        <v>9.2218952180207596E-4</v>
      </c>
      <c r="R25" s="84">
        <f t="shared" si="4"/>
        <v>5.6730436041517247E-6</v>
      </c>
      <c r="S25" s="82">
        <f t="shared" si="5"/>
        <v>1.5402640521802074E-2</v>
      </c>
      <c r="T25" s="212">
        <f t="shared" si="6"/>
        <v>1.5402640521802074E-2</v>
      </c>
      <c r="U25" s="84">
        <f t="shared" si="7"/>
        <v>5.6730436041517247E-6</v>
      </c>
      <c r="V25" s="86"/>
      <c r="W25" s="48"/>
      <c r="X25" s="112">
        <f>(30/PI())*SQRT(32.174*X22/(X10+0.4536*X11*X4/39.37+(4/17)*(X18)))*SQRT(($S48-SUM(S43:S46))/$S48)</f>
        <v>20.385299452023574</v>
      </c>
      <c r="Y25" s="139">
        <f>(30/PI())*SQRT(32.174*Y22/(Y10+0.4536*Y11*Y4/39.37+(4/17)*(Y18)))*SQRT(($S48-SUM(S43:S46))/$S48)</f>
        <v>20.385299452023574</v>
      </c>
      <c r="Z25" s="48" t="s">
        <v>129</v>
      </c>
      <c r="AA25" s="48"/>
      <c r="AB25" s="48"/>
      <c r="AC25" s="48"/>
    </row>
    <row r="26" spans="1:29">
      <c r="A26" s="48" t="s">
        <v>229</v>
      </c>
      <c r="B26" s="48"/>
      <c r="C26" s="129"/>
      <c r="D26" s="79"/>
      <c r="E26" s="122">
        <f>E21</f>
        <v>2.8000000000000001E-2</v>
      </c>
      <c r="F26" s="235" t="s">
        <v>163</v>
      </c>
      <c r="G26" s="253">
        <f t="shared" si="8"/>
        <v>5.0800101600203207E-2</v>
      </c>
      <c r="H26" s="81">
        <f t="shared" si="8"/>
        <v>0</v>
      </c>
      <c r="I26" s="81">
        <f t="shared" si="8"/>
        <v>5.0800101600203207E-2</v>
      </c>
      <c r="J26" s="123">
        <v>0</v>
      </c>
      <c r="K26" s="123">
        <v>0</v>
      </c>
      <c r="L26" s="81">
        <f>-L21</f>
        <v>-0.627</v>
      </c>
      <c r="M26" s="124">
        <f t="shared" si="0"/>
        <v>0</v>
      </c>
      <c r="N26" s="125">
        <f t="shared" si="1"/>
        <v>0</v>
      </c>
      <c r="O26" s="258">
        <f t="shared" si="2"/>
        <v>-1.7555999999999999E-2</v>
      </c>
      <c r="P26" s="82">
        <f t="shared" si="3"/>
        <v>1.053765548391312E-5</v>
      </c>
      <c r="Q26" s="83">
        <f t="shared" si="3"/>
        <v>1.053765548391312E-5</v>
      </c>
      <c r="R26" s="84">
        <f t="shared" si="4"/>
        <v>9.0322761290683895E-6</v>
      </c>
      <c r="S26" s="82">
        <f t="shared" si="5"/>
        <v>1.1018149655483913E-2</v>
      </c>
      <c r="T26" s="212">
        <f t="shared" si="6"/>
        <v>1.1018149655483913E-2</v>
      </c>
      <c r="U26" s="84">
        <f t="shared" si="7"/>
        <v>9.0322761290683895E-6</v>
      </c>
      <c r="V26" s="86"/>
      <c r="W26" s="48"/>
      <c r="X26" s="224">
        <f>SUM(S37:S41)</f>
        <v>21.418571831929853</v>
      </c>
      <c r="Y26" s="225">
        <f>SUM(S42:S46)</f>
        <v>21.418571831929853</v>
      </c>
      <c r="Z26" s="48" t="s">
        <v>130</v>
      </c>
      <c r="AA26" s="48"/>
      <c r="AB26" s="48"/>
      <c r="AC26" s="48"/>
    </row>
    <row r="27" spans="1:29" ht="15" thickBot="1">
      <c r="A27" s="85" t="s">
        <v>197</v>
      </c>
      <c r="B27" s="48"/>
      <c r="C27" s="48"/>
      <c r="D27" s="79"/>
      <c r="E27" s="122">
        <f>E22</f>
        <v>7.0000000000000001E-3</v>
      </c>
      <c r="F27" s="235" t="s">
        <v>163</v>
      </c>
      <c r="G27" s="253">
        <f t="shared" si="8"/>
        <v>3.1750063500127004E-3</v>
      </c>
      <c r="H27" s="81">
        <f t="shared" si="8"/>
        <v>2.9210058420116843E-3</v>
      </c>
      <c r="I27" s="81">
        <f t="shared" si="8"/>
        <v>0.33441706883413769</v>
      </c>
      <c r="J27" s="123">
        <f>P8/2</f>
        <v>0.16720853441706884</v>
      </c>
      <c r="K27" s="123">
        <v>0</v>
      </c>
      <c r="L27" s="81">
        <f>-L22</f>
        <v>-0.627</v>
      </c>
      <c r="M27" s="294">
        <f t="shared" si="0"/>
        <v>1.170459740919482E-3</v>
      </c>
      <c r="N27" s="125">
        <f t="shared" si="1"/>
        <v>0</v>
      </c>
      <c r="O27" s="258">
        <f t="shared" si="2"/>
        <v>-4.3889999999999997E-3</v>
      </c>
      <c r="P27" s="82">
        <f t="shared" si="3"/>
        <v>6.5245095785890507E-5</v>
      </c>
      <c r="Q27" s="83">
        <f t="shared" si="3"/>
        <v>6.5245095785890507E-5</v>
      </c>
      <c r="R27" s="84">
        <f t="shared" si="4"/>
        <v>1.6286322895226443E-8</v>
      </c>
      <c r="S27" s="82">
        <f t="shared" si="5"/>
        <v>2.8171480957858903E-3</v>
      </c>
      <c r="T27" s="212">
        <f t="shared" si="6"/>
        <v>3.0128589536592191E-3</v>
      </c>
      <c r="U27" s="84">
        <f t="shared" si="7"/>
        <v>1.957271441962239E-4</v>
      </c>
      <c r="V27" s="86"/>
      <c r="W27" s="48"/>
      <c r="X27" s="140">
        <f>1/(1-(A4/X25)^2)^2</f>
        <v>1.1631797773897947</v>
      </c>
      <c r="Y27" s="141">
        <f>1/(1-(A4/Y25)^2)^2</f>
        <v>1.1631797773897947</v>
      </c>
      <c r="Z27" s="142" t="s">
        <v>131</v>
      </c>
      <c r="AA27" s="48"/>
      <c r="AB27" s="48"/>
      <c r="AC27" s="48"/>
    </row>
    <row r="28" spans="1:29" ht="13.5" thickBot="1">
      <c r="A28" s="85" t="s">
        <v>184</v>
      </c>
      <c r="B28" s="48"/>
      <c r="C28" s="48"/>
      <c r="D28" s="64"/>
      <c r="E28" s="175">
        <f>E23</f>
        <v>0.04</v>
      </c>
      <c r="F28" s="236" t="s">
        <v>163</v>
      </c>
      <c r="G28" s="254">
        <f t="shared" si="8"/>
        <v>3.9878079756159514E-2</v>
      </c>
      <c r="H28" s="88">
        <f t="shared" si="8"/>
        <v>3.9370078740157487E-2</v>
      </c>
      <c r="I28" s="88">
        <f t="shared" si="8"/>
        <v>3.9878079756159514E-2</v>
      </c>
      <c r="J28" s="88">
        <f>P8</f>
        <v>0.33441706883413769</v>
      </c>
      <c r="K28" s="255">
        <v>0</v>
      </c>
      <c r="L28" s="161">
        <f>-L23</f>
        <v>-0.627</v>
      </c>
      <c r="M28" s="295">
        <f t="shared" si="0"/>
        <v>1.3376682753365508E-2</v>
      </c>
      <c r="N28" s="223">
        <f t="shared" si="1"/>
        <v>0</v>
      </c>
      <c r="O28" s="261">
        <f t="shared" si="2"/>
        <v>-2.5080000000000002E-2</v>
      </c>
      <c r="P28" s="160">
        <f t="shared" si="3"/>
        <v>1.3151531679407447E-5</v>
      </c>
      <c r="Q28" s="298">
        <f t="shared" si="3"/>
        <v>1.3151531679407447E-5</v>
      </c>
      <c r="R28" s="135">
        <f t="shared" si="4"/>
        <v>1.5701321725224099E-5</v>
      </c>
      <c r="S28" s="160">
        <f t="shared" si="5"/>
        <v>1.573831153167941E-2</v>
      </c>
      <c r="T28" s="97">
        <f t="shared" si="6"/>
        <v>2.0211702568784067E-2</v>
      </c>
      <c r="U28" s="135">
        <f t="shared" si="7"/>
        <v>4.48909235882988E-3</v>
      </c>
      <c r="V28" s="86"/>
      <c r="W28" s="48"/>
      <c r="X28" s="48"/>
      <c r="Y28" s="185">
        <f>X26+Y26</f>
        <v>42.837143663859706</v>
      </c>
      <c r="Z28" s="64" t="s">
        <v>132</v>
      </c>
      <c r="AA28" s="48"/>
      <c r="AB28" s="48"/>
      <c r="AC28" s="48"/>
    </row>
    <row r="29" spans="1:29">
      <c r="A29" s="55"/>
      <c r="B29" s="55"/>
      <c r="C29" s="55"/>
      <c r="D29" s="104"/>
      <c r="E29" s="89" t="s">
        <v>102</v>
      </c>
      <c r="F29" s="90"/>
      <c r="G29" s="91"/>
      <c r="H29" s="91"/>
      <c r="I29" s="91"/>
      <c r="J29" s="176" t="s">
        <v>103</v>
      </c>
      <c r="K29" s="61"/>
      <c r="L29" s="177"/>
      <c r="M29" s="92" t="s">
        <v>104</v>
      </c>
      <c r="N29" s="61"/>
      <c r="O29" s="63"/>
      <c r="P29" s="86"/>
      <c r="Q29" s="86"/>
      <c r="R29" s="86"/>
      <c r="S29" s="18" t="s">
        <v>105</v>
      </c>
      <c r="T29" s="93"/>
      <c r="U29" s="87"/>
      <c r="V29" s="86"/>
      <c r="W29" s="48"/>
      <c r="X29" s="48"/>
      <c r="Y29" s="79">
        <f>X26*X27+Y26*Y27</f>
        <v>49.827299230942991</v>
      </c>
      <c r="Z29" s="64" t="s">
        <v>133</v>
      </c>
      <c r="AA29" s="48"/>
      <c r="AB29" s="48"/>
      <c r="AC29" s="48"/>
    </row>
    <row r="30" spans="1:29" ht="13.5" thickBot="1">
      <c r="A30" s="55"/>
      <c r="B30" s="178"/>
      <c r="C30" s="55"/>
      <c r="D30" s="104"/>
      <c r="E30" s="284">
        <f>SUM(E19:E28)</f>
        <v>2.3678987639319282</v>
      </c>
      <c r="F30" s="94" t="s">
        <v>4</v>
      </c>
      <c r="G30" s="91"/>
      <c r="H30" s="91"/>
      <c r="I30" s="91"/>
      <c r="J30" s="95">
        <f>M30/$E30</f>
        <v>1.2286963206255712E-2</v>
      </c>
      <c r="K30" s="96">
        <f>N30/$E30</f>
        <v>0</v>
      </c>
      <c r="L30" s="97">
        <f>O30/$E30</f>
        <v>0</v>
      </c>
      <c r="M30" s="96">
        <f>SUM(M19:M28)</f>
        <v>2.9094284988569981E-2</v>
      </c>
      <c r="N30" s="96">
        <f>SUM(N19:N28)</f>
        <v>0</v>
      </c>
      <c r="O30" s="98">
        <f>SUM(O19:O28)</f>
        <v>0</v>
      </c>
      <c r="P30" s="86"/>
      <c r="Q30" s="86"/>
      <c r="R30" s="86"/>
      <c r="S30" s="99">
        <f>SUM(S19:S28)</f>
        <v>0.16214747820592429</v>
      </c>
      <c r="T30" s="100">
        <f>SUM(T19:T28)</f>
        <v>0.17148568199588027</v>
      </c>
      <c r="U30" s="101">
        <f>SUM(U19:U28)</f>
        <v>1.0621014547840285E-2</v>
      </c>
      <c r="V30" s="86"/>
      <c r="W30" s="48"/>
      <c r="AA30" s="48"/>
      <c r="AB30" s="48"/>
      <c r="AC30" s="48"/>
    </row>
    <row r="31" spans="1:29">
      <c r="A31" s="55"/>
      <c r="B31" s="178"/>
      <c r="C31" s="55"/>
      <c r="D31" s="104"/>
      <c r="E31" s="283"/>
      <c r="F31" s="56"/>
      <c r="G31" s="91"/>
      <c r="H31" s="91"/>
      <c r="I31" s="91"/>
      <c r="J31" s="56"/>
      <c r="K31" s="56"/>
      <c r="L31" s="86"/>
      <c r="M31" s="56"/>
      <c r="N31" s="56"/>
      <c r="O31" s="86"/>
      <c r="P31" s="86"/>
      <c r="Q31" s="86"/>
      <c r="R31" s="86"/>
      <c r="S31" s="104"/>
      <c r="T31" s="104"/>
      <c r="U31" s="104"/>
      <c r="V31" s="86"/>
      <c r="W31" s="48"/>
      <c r="X31" s="64" t="s">
        <v>134</v>
      </c>
      <c r="AA31" s="48"/>
      <c r="AB31" s="48"/>
      <c r="AC31" s="48"/>
    </row>
    <row r="32" spans="1:29" ht="17.25" thickBot="1">
      <c r="A32" s="285" t="s">
        <v>213</v>
      </c>
      <c r="B32" s="48"/>
      <c r="C32" s="48"/>
      <c r="D32" s="79"/>
      <c r="E32" s="105"/>
      <c r="F32" s="103"/>
      <c r="G32" s="91"/>
      <c r="I32" s="57" t="s">
        <v>72</v>
      </c>
      <c r="J32" s="103"/>
      <c r="K32" s="91"/>
      <c r="L32" s="106"/>
      <c r="M32" s="56"/>
      <c r="N32" s="56"/>
      <c r="O32" s="86"/>
      <c r="P32" s="58" t="s">
        <v>73</v>
      </c>
      <c r="Q32" s="56"/>
      <c r="R32" s="56"/>
      <c r="T32" s="86"/>
      <c r="U32" s="86"/>
      <c r="V32" s="86"/>
      <c r="W32" s="48"/>
      <c r="X32" s="143">
        <f>SQRT(X25^2-A4^2)</f>
        <v>19.629325860779648</v>
      </c>
      <c r="Y32" s="143">
        <f>SQRT(Y25^2-A4^2)</f>
        <v>19.629325860779648</v>
      </c>
      <c r="Z32" s="48" t="s">
        <v>173</v>
      </c>
      <c r="AA32" s="48"/>
      <c r="AB32" s="48"/>
      <c r="AC32" s="48"/>
    </row>
    <row r="33" spans="1:29" ht="16.5" thickBot="1">
      <c r="A33" s="107"/>
      <c r="B33" s="107"/>
      <c r="C33" s="48"/>
      <c r="D33" s="59"/>
      <c r="E33" s="60"/>
      <c r="F33" s="61"/>
      <c r="G33" s="62"/>
      <c r="H33" s="62"/>
      <c r="I33" s="62"/>
      <c r="J33" s="62"/>
      <c r="K33" s="62"/>
      <c r="L33" s="62"/>
      <c r="M33" s="207" t="s">
        <v>79</v>
      </c>
      <c r="N33" s="171"/>
      <c r="O33" s="171"/>
      <c r="P33" s="207" t="s">
        <v>74</v>
      </c>
      <c r="Q33" s="208"/>
      <c r="R33" s="209"/>
      <c r="S33" s="199" t="s">
        <v>157</v>
      </c>
      <c r="T33" s="200"/>
      <c r="U33" s="201"/>
      <c r="V33" s="86"/>
      <c r="W33" s="48"/>
      <c r="X33" s="244">
        <f>$A4*SPB!$AO50/X32</f>
        <v>6.908159251932805E-2</v>
      </c>
      <c r="Y33" s="244">
        <f>$A4*SPB!$AO50/Y32</f>
        <v>6.908159251932805E-2</v>
      </c>
      <c r="Z33" s="48" t="s">
        <v>211</v>
      </c>
      <c r="AA33" s="48"/>
      <c r="AB33" s="48"/>
      <c r="AC33" s="48"/>
    </row>
    <row r="34" spans="1:29">
      <c r="A34" s="109"/>
      <c r="B34" s="110"/>
      <c r="C34" s="55"/>
      <c r="D34" s="72"/>
      <c r="E34" s="65" t="s">
        <v>75</v>
      </c>
      <c r="F34" s="66" t="s">
        <v>76</v>
      </c>
      <c r="G34" s="67" t="s">
        <v>77</v>
      </c>
      <c r="H34" s="68"/>
      <c r="I34" s="68"/>
      <c r="J34" s="67" t="s">
        <v>78</v>
      </c>
      <c r="K34" s="68"/>
      <c r="L34" s="68"/>
      <c r="M34" s="220"/>
      <c r="N34" s="68"/>
      <c r="O34" s="68"/>
      <c r="P34" s="70" t="s">
        <v>80</v>
      </c>
      <c r="Q34" s="69" t="s">
        <v>81</v>
      </c>
      <c r="R34" s="71" t="s">
        <v>82</v>
      </c>
      <c r="S34" s="202" t="s">
        <v>158</v>
      </c>
      <c r="T34" s="8"/>
      <c r="U34" s="203"/>
      <c r="V34" s="86"/>
      <c r="W34" s="48"/>
      <c r="AA34" s="48"/>
      <c r="AB34" s="48"/>
      <c r="AC34" s="48"/>
    </row>
    <row r="35" spans="1:29">
      <c r="A35" s="109"/>
      <c r="B35" s="110"/>
      <c r="C35" s="55"/>
      <c r="D35" s="116"/>
      <c r="E35" s="73"/>
      <c r="F35" s="74"/>
      <c r="G35" s="75" t="s">
        <v>84</v>
      </c>
      <c r="H35" s="75" t="s">
        <v>85</v>
      </c>
      <c r="I35" s="75" t="s">
        <v>86</v>
      </c>
      <c r="J35" s="76" t="s">
        <v>87</v>
      </c>
      <c r="K35" s="76" t="s">
        <v>88</v>
      </c>
      <c r="L35" s="76" t="s">
        <v>89</v>
      </c>
      <c r="M35" s="73" t="s">
        <v>90</v>
      </c>
      <c r="N35" s="75" t="s">
        <v>91</v>
      </c>
      <c r="O35" s="75" t="s">
        <v>92</v>
      </c>
      <c r="P35" s="198" t="s">
        <v>93</v>
      </c>
      <c r="Q35" s="77" t="s">
        <v>94</v>
      </c>
      <c r="R35" s="206" t="s">
        <v>95</v>
      </c>
      <c r="S35" s="78"/>
      <c r="T35" s="204" t="s">
        <v>159</v>
      </c>
      <c r="U35" s="203"/>
      <c r="V35" s="86"/>
      <c r="W35" s="48"/>
      <c r="AA35" s="48"/>
      <c r="AB35" s="48"/>
      <c r="AC35" s="48"/>
    </row>
    <row r="36" spans="1:29">
      <c r="A36" s="119"/>
      <c r="B36" s="107"/>
      <c r="C36" s="48"/>
      <c r="D36" s="184"/>
      <c r="E36" s="73" t="s">
        <v>96</v>
      </c>
      <c r="F36" s="74"/>
      <c r="G36" s="75" t="s">
        <v>97</v>
      </c>
      <c r="H36" s="80"/>
      <c r="I36" s="80"/>
      <c r="J36" s="75" t="s">
        <v>97</v>
      </c>
      <c r="K36" s="80"/>
      <c r="L36" s="80"/>
      <c r="M36" s="221"/>
      <c r="N36" s="215" t="s">
        <v>98</v>
      </c>
      <c r="O36" s="216"/>
      <c r="P36" s="217"/>
      <c r="Q36" s="218" t="s">
        <v>99</v>
      </c>
      <c r="R36" s="219"/>
      <c r="S36" s="218"/>
      <c r="T36" s="218" t="s">
        <v>99</v>
      </c>
      <c r="U36" s="205" t="s">
        <v>160</v>
      </c>
      <c r="V36" s="86"/>
      <c r="W36" s="48"/>
      <c r="AA36" s="48"/>
      <c r="AB36" s="48"/>
      <c r="AC36" s="48"/>
    </row>
    <row r="37" spans="1:29">
      <c r="A37" s="48" t="s">
        <v>142</v>
      </c>
      <c r="B37" s="48"/>
      <c r="C37" s="2"/>
      <c r="D37" s="79"/>
      <c r="E37" s="122">
        <f>Y18*0.4536+X11*I42</f>
        <v>1.0329493819659639</v>
      </c>
      <c r="F37" s="235" t="s">
        <v>163</v>
      </c>
      <c r="G37" s="249">
        <f>0.92/39.37</f>
        <v>2.3368046736093474E-2</v>
      </c>
      <c r="H37" s="249">
        <f>0.91/39.37</f>
        <v>2.3114046228092457E-2</v>
      </c>
      <c r="I37" s="81">
        <f>X4/39.37</f>
        <v>6.1615829311658619</v>
      </c>
      <c r="J37" s="123">
        <v>0</v>
      </c>
      <c r="K37" s="123">
        <v>0</v>
      </c>
      <c r="L37" s="81">
        <f>P5+(X4/2)/39.37</f>
        <v>3.3267914655829309</v>
      </c>
      <c r="M37" s="211">
        <f t="shared" ref="M37:M46" si="9">$E37*J37</f>
        <v>0</v>
      </c>
      <c r="N37" s="210">
        <f t="shared" ref="N37:N46" si="10">$E37*K37</f>
        <v>0</v>
      </c>
      <c r="O37" s="257">
        <f t="shared" ref="O37:O46" si="11">$E37*L37</f>
        <v>3.4364071883035319</v>
      </c>
      <c r="P37" s="213">
        <f t="shared" ref="P37:Q46" si="12">$E37*(($G37^2+$H37^2)/16+$I37^2/12)</f>
        <v>3.2680723232049456</v>
      </c>
      <c r="Q37" s="212">
        <f t="shared" si="12"/>
        <v>3.2680723232049456</v>
      </c>
      <c r="R37" s="214">
        <f t="shared" ref="R37:R46" si="13">E37*(G37^2+H37^2)/8</f>
        <v>1.3949009673035529E-4</v>
      </c>
      <c r="S37" s="212">
        <f t="shared" ref="S37:S46" si="14">P37+$E37*((K37-K$48)^2+(L37-L$48)^2)</f>
        <v>14.70028242952097</v>
      </c>
      <c r="T37" s="212">
        <f t="shared" ref="T37:T46" si="15">Q37+$E37*((J37-J$48)^2+(L37-L$48)^2)</f>
        <v>14.70028242952097</v>
      </c>
      <c r="U37" s="214">
        <f t="shared" ref="U37:U46" si="16">R37+$E37*((J37-J$48)^2+(K37-K$48)^2)</f>
        <v>1.3949009673035529E-4</v>
      </c>
      <c r="V37" s="86"/>
      <c r="W37" s="48"/>
      <c r="AA37" s="48"/>
      <c r="AB37" s="48"/>
      <c r="AC37" s="48"/>
    </row>
    <row r="38" spans="1:29">
      <c r="A38" s="48" t="s">
        <v>190</v>
      </c>
      <c r="B38" s="48"/>
      <c r="C38" s="48"/>
      <c r="D38" s="79"/>
      <c r="E38" s="122">
        <f>Q6</f>
        <v>7.5999999999999998E-2</v>
      </c>
      <c r="F38" s="235" t="s">
        <v>163</v>
      </c>
      <c r="G38" s="249">
        <f>0.7/39.37</f>
        <v>1.7780035560071121E-2</v>
      </c>
      <c r="H38" s="249">
        <f>0.66/39.37</f>
        <v>1.6764033528067056E-2</v>
      </c>
      <c r="I38" s="81">
        <f>P6</f>
        <v>0.38100000000000001</v>
      </c>
      <c r="J38" s="123">
        <v>0</v>
      </c>
      <c r="K38" s="123">
        <v>0</v>
      </c>
      <c r="L38" s="81">
        <f>L41-I40-I38/2</f>
        <v>6.4750829311658622</v>
      </c>
      <c r="M38" s="124">
        <f t="shared" si="9"/>
        <v>0</v>
      </c>
      <c r="N38" s="125">
        <f t="shared" si="10"/>
        <v>0</v>
      </c>
      <c r="O38" s="258">
        <f t="shared" si="11"/>
        <v>0.49210630276860551</v>
      </c>
      <c r="P38" s="82">
        <f t="shared" si="12"/>
        <v>9.2218952180207596E-4</v>
      </c>
      <c r="Q38" s="83">
        <f t="shared" si="12"/>
        <v>9.2218952180207596E-4</v>
      </c>
      <c r="R38" s="84">
        <f t="shared" si="13"/>
        <v>5.6730436041517247E-6</v>
      </c>
      <c r="S38" s="83">
        <f t="shared" si="14"/>
        <v>3.1873513108979394</v>
      </c>
      <c r="T38" s="212">
        <f t="shared" si="15"/>
        <v>3.1873513108979394</v>
      </c>
      <c r="U38" s="84">
        <f t="shared" si="16"/>
        <v>5.6730436041517247E-6</v>
      </c>
      <c r="V38" s="86"/>
      <c r="W38" s="48"/>
      <c r="AA38" s="48"/>
      <c r="AB38" s="48"/>
      <c r="AC38" s="48"/>
    </row>
    <row r="39" spans="1:29">
      <c r="A39" s="48" t="s">
        <v>228</v>
      </c>
      <c r="B39" s="48"/>
      <c r="C39" s="129"/>
      <c r="D39" s="79"/>
      <c r="E39" s="122">
        <f>Q7</f>
        <v>2.8000000000000001E-2</v>
      </c>
      <c r="F39" s="235" t="s">
        <v>163</v>
      </c>
      <c r="G39" s="249">
        <f>2/39.37</f>
        <v>5.0800101600203207E-2</v>
      </c>
      <c r="H39" s="249">
        <v>0</v>
      </c>
      <c r="I39" s="249">
        <f>2/39.37</f>
        <v>5.0800101600203207E-2</v>
      </c>
      <c r="J39" s="123">
        <v>0</v>
      </c>
      <c r="K39" s="123">
        <v>0</v>
      </c>
      <c r="L39" s="81">
        <f>L41-I40</f>
        <v>6.6655829311658623</v>
      </c>
      <c r="M39" s="124">
        <f t="shared" si="9"/>
        <v>0</v>
      </c>
      <c r="N39" s="125">
        <f t="shared" si="10"/>
        <v>0</v>
      </c>
      <c r="O39" s="258">
        <f t="shared" si="11"/>
        <v>0.18663632207264416</v>
      </c>
      <c r="P39" s="82">
        <f t="shared" si="12"/>
        <v>1.053765548391312E-5</v>
      </c>
      <c r="Q39" s="83">
        <f t="shared" si="12"/>
        <v>1.053765548391312E-5</v>
      </c>
      <c r="R39" s="84">
        <f t="shared" si="13"/>
        <v>9.0322761290683895E-6</v>
      </c>
      <c r="S39" s="83">
        <f t="shared" si="14"/>
        <v>1.2440504203984752</v>
      </c>
      <c r="T39" s="212">
        <f t="shared" si="15"/>
        <v>1.2440504203984752</v>
      </c>
      <c r="U39" s="84">
        <f t="shared" si="16"/>
        <v>9.0322761290683895E-6</v>
      </c>
      <c r="V39" s="86"/>
      <c r="W39" s="48"/>
      <c r="AA39" s="48"/>
      <c r="AB39" s="48"/>
      <c r="AC39" s="48"/>
    </row>
    <row r="40" spans="1:29">
      <c r="A40" s="85" t="s">
        <v>191</v>
      </c>
      <c r="B40" s="48"/>
      <c r="C40" s="48"/>
      <c r="D40" s="79"/>
      <c r="E40" s="122">
        <f>Q8</f>
        <v>7.0000000000000001E-3</v>
      </c>
      <c r="F40" s="235" t="s">
        <v>163</v>
      </c>
      <c r="G40" s="249">
        <f>0.125/39.37</f>
        <v>3.1750063500127004E-3</v>
      </c>
      <c r="H40" s="249">
        <f>0.115/39.37</f>
        <v>2.9210058420116843E-3</v>
      </c>
      <c r="I40" s="81">
        <f>P8</f>
        <v>0.33441706883413769</v>
      </c>
      <c r="J40" s="123">
        <v>0</v>
      </c>
      <c r="K40" s="123">
        <v>0</v>
      </c>
      <c r="L40" s="81">
        <f>L41-I40/2</f>
        <v>6.8327914655829307</v>
      </c>
      <c r="M40" s="124">
        <f t="shared" si="9"/>
        <v>0</v>
      </c>
      <c r="N40" s="125">
        <f t="shared" si="10"/>
        <v>0</v>
      </c>
      <c r="O40" s="258">
        <f t="shared" si="11"/>
        <v>4.7829540259080518E-2</v>
      </c>
      <c r="P40" s="82">
        <f t="shared" si="12"/>
        <v>6.5245095785890507E-5</v>
      </c>
      <c r="Q40" s="83">
        <f t="shared" si="12"/>
        <v>6.5245095785890507E-5</v>
      </c>
      <c r="R40" s="84">
        <f t="shared" si="13"/>
        <v>1.6286322895226443E-8</v>
      </c>
      <c r="S40" s="83">
        <f t="shared" si="14"/>
        <v>0.32687451958078639</v>
      </c>
      <c r="T40" s="212">
        <f t="shared" si="15"/>
        <v>0.32687451958078639</v>
      </c>
      <c r="U40" s="84">
        <f t="shared" si="16"/>
        <v>1.6286322895226443E-8</v>
      </c>
      <c r="V40" s="86"/>
      <c r="W40" s="48"/>
      <c r="AA40" s="48"/>
      <c r="AB40" s="48"/>
      <c r="AC40" s="48"/>
    </row>
    <row r="41" spans="1:29" ht="13.5" thickBot="1">
      <c r="A41" s="85" t="s">
        <v>183</v>
      </c>
      <c r="B41" s="48"/>
      <c r="C41" s="48"/>
      <c r="D41" s="64"/>
      <c r="E41" s="122">
        <f>Q9</f>
        <v>0.04</v>
      </c>
      <c r="F41" s="236" t="s">
        <v>163</v>
      </c>
      <c r="G41" s="250">
        <f>1.57/39.37</f>
        <v>3.9878079756159514E-2</v>
      </c>
      <c r="H41" s="250">
        <f>1.55/39.37</f>
        <v>3.9370078740157487E-2</v>
      </c>
      <c r="I41" s="250">
        <f>1.57/39.37</f>
        <v>3.9878079756159514E-2</v>
      </c>
      <c r="J41" s="162">
        <v>0</v>
      </c>
      <c r="K41" s="162">
        <v>0</v>
      </c>
      <c r="L41" s="161">
        <f>P4/2</f>
        <v>7</v>
      </c>
      <c r="M41" s="163">
        <f t="shared" si="9"/>
        <v>0</v>
      </c>
      <c r="N41" s="164">
        <f t="shared" si="10"/>
        <v>0</v>
      </c>
      <c r="O41" s="259">
        <f t="shared" si="11"/>
        <v>0.28000000000000003</v>
      </c>
      <c r="P41" s="160">
        <f t="shared" si="12"/>
        <v>1.3151531679407447E-5</v>
      </c>
      <c r="Q41" s="298">
        <f t="shared" si="12"/>
        <v>1.3151531679407447E-5</v>
      </c>
      <c r="R41" s="135">
        <f t="shared" si="13"/>
        <v>1.5701321725224099E-5</v>
      </c>
      <c r="S41" s="166">
        <f t="shared" si="14"/>
        <v>1.9600131515316794</v>
      </c>
      <c r="T41" s="86">
        <f t="shared" si="15"/>
        <v>1.9600131515316794</v>
      </c>
      <c r="U41" s="165">
        <f t="shared" si="16"/>
        <v>1.5701321725224099E-5</v>
      </c>
      <c r="V41" s="86"/>
      <c r="W41" s="48"/>
      <c r="AA41" s="48"/>
      <c r="AB41" s="48"/>
      <c r="AC41" s="48"/>
    </row>
    <row r="42" spans="1:29">
      <c r="A42" s="48" t="s">
        <v>116</v>
      </c>
      <c r="B42" s="48"/>
      <c r="C42" s="2"/>
      <c r="D42" s="79"/>
      <c r="E42" s="167">
        <f>0.4536*Y18+Y11*I42</f>
        <v>1.0329493819659639</v>
      </c>
      <c r="F42" s="237" t="s">
        <v>163</v>
      </c>
      <c r="G42" s="251">
        <f t="shared" ref="G42:I43" si="17">G37</f>
        <v>2.3368046736093474E-2</v>
      </c>
      <c r="H42" s="168">
        <f t="shared" si="17"/>
        <v>2.3114046228092457E-2</v>
      </c>
      <c r="I42" s="168">
        <f t="shared" si="17"/>
        <v>6.1615829311658619</v>
      </c>
      <c r="J42" s="169">
        <v>0</v>
      </c>
      <c r="K42" s="169">
        <v>0</v>
      </c>
      <c r="L42" s="252">
        <f>-L37</f>
        <v>-3.3267914655829309</v>
      </c>
      <c r="M42" s="170">
        <f t="shared" si="9"/>
        <v>0</v>
      </c>
      <c r="N42" s="171">
        <f t="shared" si="10"/>
        <v>0</v>
      </c>
      <c r="O42" s="260">
        <f t="shared" si="11"/>
        <v>-3.4364071883035319</v>
      </c>
      <c r="P42" s="174">
        <f t="shared" si="12"/>
        <v>3.2680723232049456</v>
      </c>
      <c r="Q42" s="173">
        <f t="shared" si="12"/>
        <v>3.2680723232049456</v>
      </c>
      <c r="R42" s="172">
        <f t="shared" si="13"/>
        <v>1.3949009673035529E-4</v>
      </c>
      <c r="S42" s="174">
        <f t="shared" si="14"/>
        <v>14.70028242952097</v>
      </c>
      <c r="T42" s="173">
        <f t="shared" si="15"/>
        <v>14.70028242952097</v>
      </c>
      <c r="U42" s="172">
        <f t="shared" si="16"/>
        <v>1.3949009673035529E-4</v>
      </c>
      <c r="V42" s="86"/>
      <c r="W42" s="48"/>
      <c r="AA42" s="48"/>
      <c r="AB42" s="48"/>
      <c r="AC42" s="48"/>
    </row>
    <row r="43" spans="1:29">
      <c r="A43" s="48" t="s">
        <v>196</v>
      </c>
      <c r="B43" s="48"/>
      <c r="C43" s="48"/>
      <c r="D43" s="79"/>
      <c r="E43" s="122">
        <f>E38</f>
        <v>7.5999999999999998E-2</v>
      </c>
      <c r="F43" s="235" t="s">
        <v>163</v>
      </c>
      <c r="G43" s="253">
        <f t="shared" si="17"/>
        <v>1.7780035560071121E-2</v>
      </c>
      <c r="H43" s="81">
        <f t="shared" si="17"/>
        <v>1.6764033528067056E-2</v>
      </c>
      <c r="I43" s="81">
        <f t="shared" si="17"/>
        <v>0.38100000000000001</v>
      </c>
      <c r="J43" s="123">
        <v>0</v>
      </c>
      <c r="K43" s="123">
        <v>0</v>
      </c>
      <c r="L43" s="81">
        <f>-L38</f>
        <v>-6.4750829311658622</v>
      </c>
      <c r="M43" s="124">
        <f t="shared" si="9"/>
        <v>0</v>
      </c>
      <c r="N43" s="125">
        <f t="shared" si="10"/>
        <v>0</v>
      </c>
      <c r="O43" s="258">
        <f t="shared" si="11"/>
        <v>-0.49210630276860551</v>
      </c>
      <c r="P43" s="82">
        <f t="shared" si="12"/>
        <v>9.2218952180207596E-4</v>
      </c>
      <c r="Q43" s="83">
        <f t="shared" si="12"/>
        <v>9.2218952180207596E-4</v>
      </c>
      <c r="R43" s="84">
        <f t="shared" si="13"/>
        <v>5.6730436041517247E-6</v>
      </c>
      <c r="S43" s="82">
        <f t="shared" si="14"/>
        <v>3.1873513108979394</v>
      </c>
      <c r="T43" s="212">
        <f t="shared" si="15"/>
        <v>3.1873513108979394</v>
      </c>
      <c r="U43" s="84">
        <f t="shared" si="16"/>
        <v>5.6730436041517247E-6</v>
      </c>
      <c r="V43" s="86"/>
      <c r="W43" s="48"/>
      <c r="AA43" s="48"/>
      <c r="AB43" s="48"/>
      <c r="AC43" s="48"/>
    </row>
    <row r="44" spans="1:29">
      <c r="A44" s="48" t="s">
        <v>229</v>
      </c>
      <c r="B44" s="48"/>
      <c r="C44" s="129"/>
      <c r="D44" s="79"/>
      <c r="E44" s="122">
        <f>E39</f>
        <v>2.8000000000000001E-2</v>
      </c>
      <c r="F44" s="235" t="s">
        <v>163</v>
      </c>
      <c r="G44" s="253">
        <f t="shared" ref="G44:I46" si="18">G39</f>
        <v>5.0800101600203207E-2</v>
      </c>
      <c r="H44" s="81">
        <f t="shared" si="18"/>
        <v>0</v>
      </c>
      <c r="I44" s="81">
        <f t="shared" si="18"/>
        <v>5.0800101600203207E-2</v>
      </c>
      <c r="J44" s="123">
        <v>0</v>
      </c>
      <c r="K44" s="123">
        <v>0</v>
      </c>
      <c r="L44" s="81">
        <f>-L39</f>
        <v>-6.6655829311658623</v>
      </c>
      <c r="M44" s="124">
        <f t="shared" si="9"/>
        <v>0</v>
      </c>
      <c r="N44" s="125">
        <f t="shared" si="10"/>
        <v>0</v>
      </c>
      <c r="O44" s="258">
        <f t="shared" si="11"/>
        <v>-0.18663632207264416</v>
      </c>
      <c r="P44" s="82">
        <f t="shared" si="12"/>
        <v>1.053765548391312E-5</v>
      </c>
      <c r="Q44" s="83">
        <f t="shared" si="12"/>
        <v>1.053765548391312E-5</v>
      </c>
      <c r="R44" s="84">
        <f t="shared" si="13"/>
        <v>9.0322761290683895E-6</v>
      </c>
      <c r="S44" s="82">
        <f t="shared" si="14"/>
        <v>1.2440504203984752</v>
      </c>
      <c r="T44" s="212">
        <f t="shared" si="15"/>
        <v>1.2440504203984752</v>
      </c>
      <c r="U44" s="84">
        <f t="shared" si="16"/>
        <v>9.0322761290683895E-6</v>
      </c>
      <c r="V44" s="86"/>
      <c r="W44" s="48"/>
      <c r="AA44" s="48"/>
      <c r="AB44" s="48"/>
      <c r="AC44" s="48"/>
    </row>
    <row r="45" spans="1:29">
      <c r="A45" s="85" t="s">
        <v>197</v>
      </c>
      <c r="B45" s="48"/>
      <c r="C45" s="48"/>
      <c r="D45" s="79"/>
      <c r="E45" s="122">
        <f>E40</f>
        <v>7.0000000000000001E-3</v>
      </c>
      <c r="F45" s="235" t="s">
        <v>163</v>
      </c>
      <c r="G45" s="253">
        <f t="shared" si="18"/>
        <v>3.1750063500127004E-3</v>
      </c>
      <c r="H45" s="81">
        <f t="shared" si="18"/>
        <v>2.9210058420116843E-3</v>
      </c>
      <c r="I45" s="81">
        <f t="shared" si="18"/>
        <v>0.33441706883413769</v>
      </c>
      <c r="J45" s="123">
        <v>0</v>
      </c>
      <c r="K45" s="123">
        <v>0</v>
      </c>
      <c r="L45" s="81">
        <f>-L40</f>
        <v>-6.8327914655829307</v>
      </c>
      <c r="M45" s="124">
        <f t="shared" si="9"/>
        <v>0</v>
      </c>
      <c r="N45" s="125">
        <f t="shared" si="10"/>
        <v>0</v>
      </c>
      <c r="O45" s="258">
        <f t="shared" si="11"/>
        <v>-4.7829540259080518E-2</v>
      </c>
      <c r="P45" s="82">
        <f t="shared" si="12"/>
        <v>6.5245095785890507E-5</v>
      </c>
      <c r="Q45" s="83">
        <f t="shared" si="12"/>
        <v>6.5245095785890507E-5</v>
      </c>
      <c r="R45" s="84">
        <f t="shared" si="13"/>
        <v>1.6286322895226443E-8</v>
      </c>
      <c r="S45" s="82">
        <f t="shared" si="14"/>
        <v>0.32687451958078639</v>
      </c>
      <c r="T45" s="212">
        <f t="shared" si="15"/>
        <v>0.32687451958078639</v>
      </c>
      <c r="U45" s="84">
        <f t="shared" si="16"/>
        <v>1.6286322895226443E-8</v>
      </c>
      <c r="V45" s="86"/>
      <c r="W45" s="48"/>
      <c r="AA45" s="48"/>
      <c r="AB45" s="48"/>
      <c r="AC45" s="48"/>
    </row>
    <row r="46" spans="1:29" ht="13.5" thickBot="1">
      <c r="A46" s="85" t="s">
        <v>184</v>
      </c>
      <c r="B46" s="48"/>
      <c r="C46" s="48"/>
      <c r="D46" s="64"/>
      <c r="E46" s="175">
        <f>E41</f>
        <v>0.04</v>
      </c>
      <c r="F46" s="236" t="s">
        <v>163</v>
      </c>
      <c r="G46" s="254">
        <f t="shared" si="18"/>
        <v>3.9878079756159514E-2</v>
      </c>
      <c r="H46" s="88">
        <f t="shared" si="18"/>
        <v>3.9370078740157487E-2</v>
      </c>
      <c r="I46" s="88">
        <f t="shared" si="18"/>
        <v>3.9878079756159514E-2</v>
      </c>
      <c r="J46" s="255">
        <v>0</v>
      </c>
      <c r="K46" s="255">
        <v>0</v>
      </c>
      <c r="L46" s="161">
        <f>-L41</f>
        <v>-7</v>
      </c>
      <c r="M46" s="222">
        <f t="shared" si="9"/>
        <v>0</v>
      </c>
      <c r="N46" s="223">
        <f t="shared" si="10"/>
        <v>0</v>
      </c>
      <c r="O46" s="261">
        <f t="shared" si="11"/>
        <v>-0.28000000000000003</v>
      </c>
      <c r="P46" s="160">
        <f t="shared" si="12"/>
        <v>1.3151531679407447E-5</v>
      </c>
      <c r="Q46" s="298">
        <f t="shared" si="12"/>
        <v>1.3151531679407447E-5</v>
      </c>
      <c r="R46" s="135">
        <f t="shared" si="13"/>
        <v>1.5701321725224099E-5</v>
      </c>
      <c r="S46" s="160">
        <f t="shared" si="14"/>
        <v>1.9600131515316794</v>
      </c>
      <c r="T46" s="97">
        <f t="shared" si="15"/>
        <v>1.9600131515316794</v>
      </c>
      <c r="U46" s="135">
        <f t="shared" si="16"/>
        <v>1.5701321725224099E-5</v>
      </c>
      <c r="V46" s="86"/>
      <c r="W46" s="48"/>
      <c r="AA46" s="48"/>
      <c r="AB46" s="48"/>
      <c r="AC46" s="48"/>
    </row>
    <row r="47" spans="1:29">
      <c r="A47" s="55"/>
      <c r="B47" s="55"/>
      <c r="C47" s="55"/>
      <c r="D47" s="104"/>
      <c r="E47" s="89" t="s">
        <v>102</v>
      </c>
      <c r="F47" s="90"/>
      <c r="G47" s="91"/>
      <c r="H47" s="91"/>
      <c r="I47" s="91"/>
      <c r="J47" s="176" t="s">
        <v>103</v>
      </c>
      <c r="K47" s="61"/>
      <c r="L47" s="177"/>
      <c r="M47" s="92" t="s">
        <v>104</v>
      </c>
      <c r="N47" s="61"/>
      <c r="O47" s="63"/>
      <c r="P47" s="86"/>
      <c r="Q47" s="86"/>
      <c r="R47" s="86"/>
      <c r="S47" s="18" t="s">
        <v>105</v>
      </c>
      <c r="T47" s="93"/>
      <c r="U47" s="87"/>
      <c r="V47" s="86"/>
      <c r="W47" s="48"/>
      <c r="AA47" s="48"/>
      <c r="AB47" s="48"/>
      <c r="AC47" s="48"/>
    </row>
    <row r="48" spans="1:29" ht="13.5" thickBot="1">
      <c r="A48" s="55"/>
      <c r="B48" s="178"/>
      <c r="C48" s="55"/>
      <c r="D48" s="104"/>
      <c r="E48" s="284">
        <f>SUM(E37:E46)</f>
        <v>2.3678987639319282</v>
      </c>
      <c r="F48" s="94" t="s">
        <v>4</v>
      </c>
      <c r="G48" s="91"/>
      <c r="H48" s="91"/>
      <c r="I48" s="91"/>
      <c r="J48" s="95">
        <f>M48/$E48</f>
        <v>0</v>
      </c>
      <c r="K48" s="96">
        <f>N48/$E48</f>
        <v>0</v>
      </c>
      <c r="L48" s="97">
        <f>O48/$E48</f>
        <v>0</v>
      </c>
      <c r="M48" s="96">
        <f>SUM(M37:M46)</f>
        <v>0</v>
      </c>
      <c r="N48" s="96">
        <f>SUM(N37:N46)</f>
        <v>0</v>
      </c>
      <c r="O48" s="98">
        <f>SUM(O37:O46)</f>
        <v>0</v>
      </c>
      <c r="P48" s="86"/>
      <c r="Q48" s="86"/>
      <c r="R48" s="86"/>
      <c r="S48" s="99">
        <f>SUM(S37:S46)</f>
        <v>42.837143663859692</v>
      </c>
      <c r="T48" s="100">
        <f>SUM(T37:T46)</f>
        <v>42.837143663859692</v>
      </c>
      <c r="U48" s="101">
        <f>SUM(U37:U46)</f>
        <v>3.3982604902338951E-4</v>
      </c>
      <c r="V48" s="86"/>
      <c r="W48" s="48"/>
      <c r="AA48" s="48"/>
      <c r="AB48" s="48"/>
      <c r="AC48" s="48"/>
    </row>
    <row r="49" spans="1:29">
      <c r="V49" s="86"/>
      <c r="W49" s="48"/>
      <c r="AA49" s="48"/>
      <c r="AB49" s="48"/>
      <c r="AC49" s="48"/>
    </row>
    <row r="50" spans="1:29">
      <c r="B50" s="238" t="s">
        <v>162</v>
      </c>
      <c r="C50" s="55"/>
      <c r="D50" s="104"/>
      <c r="E50" s="102"/>
      <c r="F50" s="103"/>
      <c r="G50" s="91"/>
      <c r="H50" s="91"/>
      <c r="I50" s="91"/>
      <c r="J50" s="56"/>
      <c r="K50" s="56"/>
      <c r="V50" s="104"/>
      <c r="W50" s="48"/>
      <c r="AA50" s="48"/>
      <c r="AB50" s="48"/>
      <c r="AC50" s="48"/>
    </row>
    <row r="51" spans="1:29">
      <c r="B51" s="238" t="s">
        <v>83</v>
      </c>
      <c r="C51" s="7"/>
      <c r="D51" s="7"/>
      <c r="E51" s="180"/>
      <c r="F51" s="238" t="s">
        <v>166</v>
      </c>
      <c r="G51" s="7"/>
      <c r="H51" s="7"/>
      <c r="I51" s="7"/>
      <c r="J51" s="181"/>
      <c r="L51" s="238" t="s">
        <v>101</v>
      </c>
      <c r="V51" s="86"/>
      <c r="W51" s="48"/>
      <c r="AA51" s="48"/>
      <c r="AB51" s="48"/>
      <c r="AC51" s="48"/>
    </row>
    <row r="52" spans="1:29" ht="14.25">
      <c r="A52" s="2"/>
      <c r="B52" s="239" t="s">
        <v>164</v>
      </c>
      <c r="C52" s="7"/>
      <c r="D52" s="7"/>
      <c r="E52" s="7"/>
      <c r="F52" s="183" t="s">
        <v>167</v>
      </c>
      <c r="G52" s="7"/>
      <c r="H52" s="7"/>
      <c r="I52" s="7"/>
      <c r="J52" s="7"/>
      <c r="L52" s="240" t="s">
        <v>169</v>
      </c>
      <c r="M52" s="56"/>
      <c r="N52" s="56"/>
      <c r="O52" s="86"/>
      <c r="P52" s="86"/>
      <c r="Q52" s="86"/>
      <c r="R52" s="86"/>
      <c r="S52" s="86"/>
      <c r="T52" s="86"/>
      <c r="U52" s="86"/>
      <c r="V52" s="86"/>
      <c r="W52" s="48"/>
      <c r="AA52" s="48"/>
      <c r="AB52" s="48"/>
      <c r="AC52" s="48"/>
    </row>
    <row r="53" spans="1:29" ht="14.25">
      <c r="A53" s="7"/>
      <c r="B53" s="238" t="s">
        <v>100</v>
      </c>
      <c r="C53" s="7"/>
      <c r="D53" s="7"/>
      <c r="E53" s="19"/>
      <c r="F53" s="183" t="s">
        <v>168</v>
      </c>
      <c r="G53" s="7"/>
      <c r="H53" s="7"/>
      <c r="I53" s="7"/>
      <c r="J53" s="7"/>
      <c r="K53" s="7"/>
      <c r="L53" s="240" t="s">
        <v>170</v>
      </c>
      <c r="M53" s="7"/>
      <c r="N53" s="182"/>
      <c r="O53" s="179"/>
      <c r="P53" s="7"/>
      <c r="Q53" s="7"/>
      <c r="R53" s="7"/>
      <c r="S53" s="7"/>
      <c r="T53" s="7"/>
      <c r="U53" s="7"/>
      <c r="V53" s="7"/>
      <c r="W53" s="48"/>
      <c r="AA53" s="48"/>
      <c r="AB53" s="48"/>
      <c r="AC53" s="48"/>
    </row>
    <row r="54" spans="1:29">
      <c r="B54" s="239" t="s">
        <v>165</v>
      </c>
      <c r="C54" s="7"/>
      <c r="D54" s="7"/>
      <c r="E54" s="7"/>
      <c r="F54" s="7"/>
      <c r="G54" s="7"/>
      <c r="H54" s="7"/>
      <c r="I54" s="7"/>
      <c r="J54" s="7"/>
      <c r="K54" s="7"/>
      <c r="M54" s="7"/>
      <c r="N54" s="7"/>
      <c r="O54" s="7"/>
      <c r="P54" s="7"/>
      <c r="Q54" s="19"/>
      <c r="R54" s="19"/>
      <c r="S54" s="7"/>
      <c r="T54" s="7"/>
      <c r="U54" s="7"/>
      <c r="V54" s="7"/>
      <c r="W54" s="48"/>
      <c r="AA54" s="48"/>
      <c r="AB54" s="48"/>
      <c r="AC54" s="48"/>
    </row>
    <row r="55" spans="1:29"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48"/>
      <c r="AA55" s="48"/>
      <c r="AB55" s="48"/>
      <c r="AC55" s="48"/>
    </row>
  </sheetData>
  <phoneticPr fontId="9" type="noConversion"/>
  <printOptions gridLines="1"/>
  <pageMargins left="0.75" right="0.75" top="1" bottom="1" header="0.5" footer="0.5"/>
  <pageSetup scale="35" orientation="landscape" horizontalDpi="1200" verticalDpi="1200" r:id="rId1"/>
  <headerFooter alignWithMargins="0">
    <oddFooter>&amp;L&amp;Z&amp;F
&amp;A&amp;C&amp;P of &amp;N&amp;R&amp;D, &amp;T</oddFooter>
  </headerFooter>
  <ignoredErrors>
    <ignoredError sqref="K4 X10:Y10" unlockedFormula="1"/>
    <ignoredError sqref="L39 H41 H23 I21 I39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>
  <dimension ref="A1:I46"/>
  <sheetViews>
    <sheetView workbookViewId="0"/>
  </sheetViews>
  <sheetFormatPr defaultRowHeight="12.75"/>
  <sheetData>
    <row r="1" spans="1:9" ht="20.25">
      <c r="A1" s="440" t="s">
        <v>364</v>
      </c>
    </row>
    <row r="2" spans="1:9">
      <c r="C2" t="s">
        <v>1</v>
      </c>
    </row>
    <row r="3" spans="1:9">
      <c r="A3" s="302" t="s">
        <v>297</v>
      </c>
      <c r="B3" s="143">
        <f>B4/2.54</f>
        <v>7.4566929133858268</v>
      </c>
      <c r="C3" s="143">
        <f>C4/2.54</f>
        <v>9.7637795275590555</v>
      </c>
      <c r="D3" s="143">
        <f>D4/2.54</f>
        <v>4.9212598425196852</v>
      </c>
      <c r="E3" s="302" t="s">
        <v>298</v>
      </c>
    </row>
    <row r="4" spans="1:9">
      <c r="A4" s="302"/>
      <c r="B4" s="302">
        <v>18.940000000000001</v>
      </c>
      <c r="C4" s="302">
        <v>24.8</v>
      </c>
      <c r="D4" s="302">
        <v>12.5</v>
      </c>
      <c r="E4" s="302" t="s">
        <v>299</v>
      </c>
    </row>
    <row r="6" spans="1:9">
      <c r="A6" s="64" t="s">
        <v>300</v>
      </c>
      <c r="B6" s="341">
        <v>0.34699999999999998</v>
      </c>
      <c r="C6" t="s">
        <v>299</v>
      </c>
      <c r="G6" s="342" t="s">
        <v>301</v>
      </c>
      <c r="H6" s="343"/>
      <c r="I6" s="344"/>
    </row>
    <row r="7" spans="1:9">
      <c r="A7" s="64" t="s">
        <v>302</v>
      </c>
      <c r="B7" s="341">
        <f>G8-B6</f>
        <v>0.54199999999999993</v>
      </c>
      <c r="C7" t="s">
        <v>299</v>
      </c>
      <c r="G7" s="299">
        <v>0.35</v>
      </c>
      <c r="H7" t="s">
        <v>303</v>
      </c>
    </row>
    <row r="8" spans="1:9">
      <c r="A8" s="64" t="s">
        <v>304</v>
      </c>
      <c r="B8">
        <v>2.7</v>
      </c>
      <c r="C8" t="s">
        <v>305</v>
      </c>
      <c r="G8" s="345">
        <f>G7*2.54</f>
        <v>0.8889999999999999</v>
      </c>
      <c r="H8" t="s">
        <v>299</v>
      </c>
    </row>
    <row r="9" spans="1:9">
      <c r="A9" s="64" t="s">
        <v>306</v>
      </c>
      <c r="B9">
        <v>470</v>
      </c>
      <c r="C9" t="s">
        <v>307</v>
      </c>
    </row>
    <row r="10" spans="1:9">
      <c r="A10" s="64"/>
      <c r="B10" s="303">
        <v>436.66666666666657</v>
      </c>
      <c r="C10" t="s">
        <v>308</v>
      </c>
    </row>
    <row r="11" spans="1:9">
      <c r="A11" s="64"/>
      <c r="B11">
        <f>SUM(B14:B20)/5*1000</f>
        <v>406</v>
      </c>
      <c r="C11" t="s">
        <v>309</v>
      </c>
    </row>
    <row r="12" spans="1:9">
      <c r="A12" s="64"/>
    </row>
    <row r="13" spans="1:9">
      <c r="A13" s="64"/>
      <c r="B13" t="s">
        <v>310</v>
      </c>
      <c r="C13" t="s">
        <v>311</v>
      </c>
      <c r="D13" t="s">
        <v>312</v>
      </c>
      <c r="G13" t="s">
        <v>313</v>
      </c>
    </row>
    <row r="14" spans="1:9">
      <c r="A14" s="346" t="s">
        <v>314</v>
      </c>
      <c r="B14" s="347">
        <f t="shared" ref="B14:B22" si="0">C14*D14</f>
        <v>0.41699999999999998</v>
      </c>
      <c r="C14" s="348">
        <v>1</v>
      </c>
      <c r="D14" s="347">
        <v>0.41699999999999998</v>
      </c>
      <c r="F14" s="64" t="s">
        <v>278</v>
      </c>
      <c r="G14" s="349">
        <v>417</v>
      </c>
    </row>
    <row r="15" spans="1:9">
      <c r="A15" s="346" t="s">
        <v>315</v>
      </c>
      <c r="B15" s="347">
        <f t="shared" si="0"/>
        <v>0.50800000000000001</v>
      </c>
      <c r="C15" s="348">
        <v>1</v>
      </c>
      <c r="D15" s="347">
        <v>0.50800000000000001</v>
      </c>
      <c r="F15" s="64" t="s">
        <v>316</v>
      </c>
      <c r="G15" s="349">
        <v>508</v>
      </c>
    </row>
    <row r="16" spans="1:9">
      <c r="A16" s="350" t="s">
        <v>317</v>
      </c>
      <c r="B16" s="347">
        <f t="shared" si="0"/>
        <v>0</v>
      </c>
      <c r="C16" s="348">
        <v>0</v>
      </c>
      <c r="D16" s="347">
        <f>0.51/2</f>
        <v>0.255</v>
      </c>
      <c r="F16" s="64" t="s">
        <v>279</v>
      </c>
      <c r="G16" s="349">
        <v>963</v>
      </c>
    </row>
    <row r="17" spans="1:8">
      <c r="A17" s="346" t="s">
        <v>318</v>
      </c>
      <c r="B17" s="347">
        <f t="shared" si="0"/>
        <v>0.255</v>
      </c>
      <c r="C17" s="348">
        <v>1</v>
      </c>
      <c r="D17" s="347">
        <f>0.51/2</f>
        <v>0.255</v>
      </c>
      <c r="F17" s="64" t="s">
        <v>319</v>
      </c>
      <c r="G17" s="349">
        <v>160.5</v>
      </c>
    </row>
    <row r="18" spans="1:8">
      <c r="A18" s="350" t="s">
        <v>320</v>
      </c>
      <c r="B18" s="347">
        <f t="shared" si="0"/>
        <v>0</v>
      </c>
      <c r="C18" s="348">
        <v>0</v>
      </c>
      <c r="D18" s="347">
        <v>0.19</v>
      </c>
      <c r="F18" s="64" t="s">
        <v>321</v>
      </c>
      <c r="G18" s="349">
        <v>510</v>
      </c>
    </row>
    <row r="19" spans="1:8">
      <c r="A19" s="346" t="s">
        <v>322</v>
      </c>
      <c r="B19" s="347">
        <f t="shared" si="0"/>
        <v>0.38</v>
      </c>
      <c r="C19" s="348">
        <v>2</v>
      </c>
      <c r="D19" s="347">
        <v>0.19</v>
      </c>
    </row>
    <row r="20" spans="1:8">
      <c r="A20" s="351" t="s">
        <v>323</v>
      </c>
      <c r="B20" s="347">
        <f t="shared" si="0"/>
        <v>0.47</v>
      </c>
      <c r="C20" s="348">
        <v>1</v>
      </c>
      <c r="D20" s="347">
        <v>0.47</v>
      </c>
      <c r="F20" s="64" t="s">
        <v>279</v>
      </c>
      <c r="G20" t="s">
        <v>324</v>
      </c>
    </row>
    <row r="21" spans="1:8">
      <c r="A21" s="346" t="s">
        <v>280</v>
      </c>
      <c r="B21" s="347">
        <f t="shared" si="0"/>
        <v>0.13</v>
      </c>
      <c r="C21" s="348">
        <v>1</v>
      </c>
      <c r="D21" s="347">
        <v>0.13</v>
      </c>
      <c r="F21" s="64" t="s">
        <v>325</v>
      </c>
      <c r="G21" s="349" t="s">
        <v>326</v>
      </c>
    </row>
    <row r="22" spans="1:8">
      <c r="A22" s="351" t="s">
        <v>327</v>
      </c>
      <c r="B22" s="347">
        <f t="shared" si="0"/>
        <v>0.03</v>
      </c>
      <c r="C22" s="348">
        <v>1</v>
      </c>
      <c r="D22" s="347">
        <v>0.03</v>
      </c>
      <c r="F22" s="64" t="s">
        <v>328</v>
      </c>
      <c r="G22" t="s">
        <v>329</v>
      </c>
    </row>
    <row r="23" spans="1:8">
      <c r="A23" s="352" t="s">
        <v>330</v>
      </c>
      <c r="B23" s="353">
        <f>SUM(B14:B22)</f>
        <v>2.19</v>
      </c>
      <c r="C23" s="2"/>
      <c r="D23" s="2"/>
      <c r="F23" s="64" t="s">
        <v>312</v>
      </c>
      <c r="G23" t="s">
        <v>331</v>
      </c>
    </row>
    <row r="24" spans="1:8">
      <c r="A24" s="354"/>
      <c r="B24" s="355"/>
      <c r="G24" t="s">
        <v>332</v>
      </c>
    </row>
    <row r="26" spans="1:8">
      <c r="A26" s="356" t="s">
        <v>333</v>
      </c>
      <c r="B26" s="356" t="s">
        <v>334</v>
      </c>
      <c r="C26" s="356" t="s">
        <v>335</v>
      </c>
      <c r="D26" s="356" t="s">
        <v>336</v>
      </c>
      <c r="E26" s="356" t="s">
        <v>1</v>
      </c>
      <c r="G26" s="357" t="s">
        <v>337</v>
      </c>
    </row>
    <row r="27" spans="1:8">
      <c r="A27">
        <v>4</v>
      </c>
      <c r="B27">
        <f>0.625*2.54</f>
        <v>1.5874999999999999</v>
      </c>
      <c r="C27">
        <f>B4</f>
        <v>18.940000000000001</v>
      </c>
      <c r="D27">
        <f>C4</f>
        <v>24.8</v>
      </c>
      <c r="E27" s="320">
        <f>G27*2.54</f>
        <v>7.8740000000000006</v>
      </c>
      <c r="G27" s="320">
        <f>0.9+0.8+2*0.625+0.05*3</f>
        <v>3.1</v>
      </c>
      <c r="H27" t="s">
        <v>338</v>
      </c>
    </row>
    <row r="29" spans="1:8">
      <c r="A29" s="356" t="s">
        <v>339</v>
      </c>
      <c r="B29" s="358"/>
      <c r="C29" s="358" t="s">
        <v>340</v>
      </c>
      <c r="D29" s="358" t="s">
        <v>341</v>
      </c>
      <c r="E29" s="358" t="s">
        <v>342</v>
      </c>
      <c r="F29" s="358" t="s">
        <v>343</v>
      </c>
      <c r="G29" s="358" t="s">
        <v>344</v>
      </c>
    </row>
    <row r="30" spans="1:8">
      <c r="A30" t="s">
        <v>282</v>
      </c>
      <c r="C30" s="349">
        <f>$C$27</f>
        <v>18.940000000000001</v>
      </c>
      <c r="D30" s="349">
        <f>$D$27</f>
        <v>24.8</v>
      </c>
      <c r="E30" s="320">
        <f t="shared" ref="E30:E35" si="1">$B$6</f>
        <v>0.34699999999999998</v>
      </c>
      <c r="F30" s="349">
        <f t="shared" ref="F30:F35" si="2">E30*D30*C30</f>
        <v>162.99006399999999</v>
      </c>
      <c r="G30" s="349">
        <f t="shared" ref="G30:G35" si="3">F30*$B$8</f>
        <v>440.07317280000001</v>
      </c>
    </row>
    <row r="31" spans="1:8">
      <c r="A31" t="s">
        <v>283</v>
      </c>
      <c r="C31" s="349">
        <f>$C$27</f>
        <v>18.940000000000001</v>
      </c>
      <c r="D31" s="349">
        <f>$D$27</f>
        <v>24.8</v>
      </c>
      <c r="E31" s="320">
        <f t="shared" si="1"/>
        <v>0.34699999999999998</v>
      </c>
      <c r="F31" s="349">
        <f t="shared" si="2"/>
        <v>162.99006399999999</v>
      </c>
      <c r="G31" s="349">
        <f t="shared" si="3"/>
        <v>440.07317280000001</v>
      </c>
    </row>
    <row r="32" spans="1:8">
      <c r="A32" t="s">
        <v>284</v>
      </c>
      <c r="C32" s="349">
        <f>$D$27-E32</f>
        <v>24.452999999999999</v>
      </c>
      <c r="D32" s="349">
        <f>$E$27-$B$6</f>
        <v>7.527000000000001</v>
      </c>
      <c r="E32" s="320">
        <f t="shared" si="1"/>
        <v>0.34699999999999998</v>
      </c>
      <c r="F32" s="349">
        <f t="shared" si="2"/>
        <v>63.868032657000001</v>
      </c>
      <c r="G32" s="349">
        <f t="shared" si="3"/>
        <v>172.4436881739</v>
      </c>
    </row>
    <row r="33" spans="1:8">
      <c r="A33" t="s">
        <v>285</v>
      </c>
      <c r="C33" s="349">
        <f>$D$27-E33</f>
        <v>24.452999999999999</v>
      </c>
      <c r="D33" s="349">
        <f>$E$27-$B$6</f>
        <v>7.527000000000001</v>
      </c>
      <c r="E33" s="320">
        <f t="shared" si="1"/>
        <v>0.34699999999999998</v>
      </c>
      <c r="F33" s="349">
        <f t="shared" si="2"/>
        <v>63.868032657000001</v>
      </c>
      <c r="G33" s="349">
        <f t="shared" si="3"/>
        <v>172.4436881739</v>
      </c>
    </row>
    <row r="34" spans="1:8">
      <c r="A34" t="s">
        <v>286</v>
      </c>
      <c r="C34" s="349">
        <f>$C$27</f>
        <v>18.940000000000001</v>
      </c>
      <c r="D34" s="349">
        <f>$E$27-$B$6</f>
        <v>7.527000000000001</v>
      </c>
      <c r="E34" s="320">
        <f t="shared" si="1"/>
        <v>0.34699999999999998</v>
      </c>
      <c r="F34" s="349">
        <f t="shared" si="2"/>
        <v>49.468798860000007</v>
      </c>
      <c r="G34" s="349">
        <f t="shared" si="3"/>
        <v>133.56575692200002</v>
      </c>
    </row>
    <row r="35" spans="1:8" ht="13.5" thickBot="1">
      <c r="A35" s="359" t="s">
        <v>287</v>
      </c>
      <c r="B35" s="359"/>
      <c r="C35" s="360">
        <f>$C$27</f>
        <v>18.940000000000001</v>
      </c>
      <c r="D35" s="360">
        <f>$E$27-$B$6</f>
        <v>7.527000000000001</v>
      </c>
      <c r="E35" s="361">
        <f t="shared" si="1"/>
        <v>0.34699999999999998</v>
      </c>
      <c r="F35" s="360">
        <f t="shared" si="2"/>
        <v>49.468798860000007</v>
      </c>
      <c r="G35" s="360">
        <f t="shared" si="3"/>
        <v>133.56575692200002</v>
      </c>
    </row>
    <row r="36" spans="1:8">
      <c r="A36" t="s">
        <v>345</v>
      </c>
      <c r="G36" s="349">
        <f>SUM(G30:G35)</f>
        <v>1492.1652357917999</v>
      </c>
    </row>
    <row r="37" spans="1:8">
      <c r="G37" s="349"/>
    </row>
    <row r="38" spans="1:8">
      <c r="A38" s="356" t="s">
        <v>346</v>
      </c>
      <c r="B38" s="358"/>
      <c r="C38" s="358" t="s">
        <v>340</v>
      </c>
      <c r="D38" s="358" t="s">
        <v>341</v>
      </c>
      <c r="E38" s="358" t="s">
        <v>342</v>
      </c>
      <c r="F38" s="358" t="s">
        <v>343</v>
      </c>
      <c r="G38" s="358" t="s">
        <v>344</v>
      </c>
    </row>
    <row r="39" spans="1:8">
      <c r="A39" t="s">
        <v>282</v>
      </c>
      <c r="C39" s="349">
        <f>$C$27+0.7</f>
        <v>19.64</v>
      </c>
      <c r="D39" s="349">
        <f>$D$27+0.7</f>
        <v>25.5</v>
      </c>
      <c r="E39" s="320">
        <f t="shared" ref="E39:E44" si="4">$B$7</f>
        <v>0.54199999999999993</v>
      </c>
      <c r="F39" s="349">
        <f t="shared" ref="F39:F44" si="5">E39*D39*C39</f>
        <v>271.44443999999999</v>
      </c>
      <c r="G39" s="349">
        <f t="shared" ref="G39:G44" si="6">F39*$B$8</f>
        <v>732.89998800000001</v>
      </c>
    </row>
    <row r="40" spans="1:8">
      <c r="A40" t="s">
        <v>283</v>
      </c>
      <c r="C40" s="349">
        <f>$C$27+0.7</f>
        <v>19.64</v>
      </c>
      <c r="D40" s="349">
        <f>$D$27+0.7</f>
        <v>25.5</v>
      </c>
      <c r="E40" s="320">
        <f t="shared" si="4"/>
        <v>0.54199999999999993</v>
      </c>
      <c r="F40" s="349">
        <f t="shared" si="5"/>
        <v>271.44443999999999</v>
      </c>
      <c r="G40" s="349">
        <f t="shared" si="6"/>
        <v>732.89998800000001</v>
      </c>
    </row>
    <row r="41" spans="1:8">
      <c r="A41" t="s">
        <v>284</v>
      </c>
      <c r="C41" s="349">
        <f>$D$27-E41</f>
        <v>24.257999999999999</v>
      </c>
      <c r="D41" s="349">
        <f>$E$27-$B$6</f>
        <v>7.527000000000001</v>
      </c>
      <c r="E41" s="320">
        <f t="shared" si="4"/>
        <v>0.54199999999999993</v>
      </c>
      <c r="F41" s="349">
        <f t="shared" si="5"/>
        <v>98.96376157200001</v>
      </c>
      <c r="G41" s="349">
        <f t="shared" si="6"/>
        <v>267.20215624440004</v>
      </c>
    </row>
    <row r="42" spans="1:8">
      <c r="A42" t="s">
        <v>285</v>
      </c>
      <c r="C42" s="349">
        <f>$D$27-E42</f>
        <v>24.257999999999999</v>
      </c>
      <c r="D42" s="349">
        <f>$E$27-$B$6</f>
        <v>7.527000000000001</v>
      </c>
      <c r="E42" s="320">
        <f t="shared" si="4"/>
        <v>0.54199999999999993</v>
      </c>
      <c r="F42" s="349">
        <f t="shared" si="5"/>
        <v>98.96376157200001</v>
      </c>
      <c r="G42" s="349">
        <f t="shared" si="6"/>
        <v>267.20215624440004</v>
      </c>
    </row>
    <row r="43" spans="1:8">
      <c r="A43" t="s">
        <v>286</v>
      </c>
      <c r="C43" s="349">
        <f>$C$27+0.7</f>
        <v>19.64</v>
      </c>
      <c r="D43" s="349">
        <f>$E$27-$B$6</f>
        <v>7.527000000000001</v>
      </c>
      <c r="E43" s="320">
        <f t="shared" si="4"/>
        <v>0.54199999999999993</v>
      </c>
      <c r="F43" s="349">
        <f t="shared" si="5"/>
        <v>80.124011760000016</v>
      </c>
      <c r="G43" s="349">
        <f t="shared" si="6"/>
        <v>216.33483175200007</v>
      </c>
    </row>
    <row r="44" spans="1:8" ht="13.5" thickBot="1">
      <c r="A44" s="359" t="s">
        <v>287</v>
      </c>
      <c r="B44" s="359"/>
      <c r="C44" s="360">
        <f>$C$27+0.7</f>
        <v>19.64</v>
      </c>
      <c r="D44" s="360">
        <f>$E$27-$B$6</f>
        <v>7.527000000000001</v>
      </c>
      <c r="E44" s="361">
        <f t="shared" si="4"/>
        <v>0.54199999999999993</v>
      </c>
      <c r="F44" s="360">
        <f t="shared" si="5"/>
        <v>80.124011760000016</v>
      </c>
      <c r="G44" s="360">
        <f t="shared" si="6"/>
        <v>216.33483175200007</v>
      </c>
    </row>
    <row r="45" spans="1:8">
      <c r="A45" t="s">
        <v>345</v>
      </c>
      <c r="G45" s="349">
        <f>SUM(G39:G44)</f>
        <v>2432.8739519927999</v>
      </c>
      <c r="H45">
        <v>2140.9</v>
      </c>
    </row>
    <row r="46" spans="1:8">
      <c r="H46" s="349">
        <f>G45-H45</f>
        <v>291.97395199279981</v>
      </c>
    </row>
  </sheetData>
  <phoneticPr fontId="9" type="noConversion"/>
  <pageMargins left="0.75" right="0.75" top="1" bottom="1" header="0.5" footer="0.5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J259"/>
  <sheetViews>
    <sheetView topLeftCell="A243" zoomScaleNormal="100" workbookViewId="0">
      <selection activeCell="A288" sqref="A288"/>
    </sheetView>
  </sheetViews>
  <sheetFormatPr defaultRowHeight="12.75"/>
  <cols>
    <col min="1" max="1" width="31.28515625" customWidth="1"/>
    <col min="2" max="2" width="11.140625" customWidth="1"/>
    <col min="3" max="3" width="10.28515625" customWidth="1"/>
  </cols>
  <sheetData>
    <row r="1" spans="1:10" ht="20.25">
      <c r="A1" s="440" t="s">
        <v>363</v>
      </c>
    </row>
    <row r="2" spans="1:10" ht="12.75" customHeight="1">
      <c r="A2" s="440"/>
    </row>
    <row r="3" spans="1:10" ht="12.75" customHeight="1">
      <c r="A3" s="440"/>
    </row>
    <row r="4" spans="1:10" ht="12.75" customHeight="1" thickBot="1">
      <c r="A4" s="64" t="s">
        <v>406</v>
      </c>
    </row>
    <row r="5" spans="1:10" ht="12.75" customHeight="1" thickBot="1">
      <c r="A5" s="484" t="s">
        <v>233</v>
      </c>
      <c r="B5" s="485" t="s">
        <v>489</v>
      </c>
      <c r="C5" s="485" t="s">
        <v>490</v>
      </c>
      <c r="F5" t="s">
        <v>514</v>
      </c>
      <c r="G5" t="s">
        <v>497</v>
      </c>
      <c r="H5" t="s">
        <v>498</v>
      </c>
      <c r="I5" t="s">
        <v>348</v>
      </c>
    </row>
    <row r="6" spans="1:10" ht="12.75" customHeight="1">
      <c r="A6" s="482" t="str">
        <f>A41</f>
        <v>IDPU to Bulkhead A (AXB) Power</v>
      </c>
      <c r="B6" s="483">
        <f>B47</f>
        <v>493.96032000000002</v>
      </c>
      <c r="C6" s="483">
        <f>C47</f>
        <v>493.96032000000002</v>
      </c>
      <c r="F6" t="s">
        <v>511</v>
      </c>
    </row>
    <row r="7" spans="1:10" ht="12.75" customHeight="1">
      <c r="A7" s="479" t="str">
        <f>A49</f>
        <v>IDPU to Bulkhead A (AXB) Signal</v>
      </c>
      <c r="B7" s="480">
        <f>B55</f>
        <v>242.5515</v>
      </c>
      <c r="C7" s="480">
        <f>C55</f>
        <v>242.5515</v>
      </c>
      <c r="F7" t="s">
        <v>512</v>
      </c>
    </row>
    <row r="8" spans="1:10" ht="12.75" customHeight="1">
      <c r="A8" s="479" t="str">
        <f>A73</f>
        <v>Bulkhead A to Bulkhead B,C Power</v>
      </c>
      <c r="B8" s="480">
        <f>B82</f>
        <v>365.83600000000001</v>
      </c>
      <c r="C8" s="480">
        <f>C82</f>
        <v>369.20816000000002</v>
      </c>
      <c r="F8" t="s">
        <v>482</v>
      </c>
    </row>
    <row r="9" spans="1:10" ht="12.75" customHeight="1">
      <c r="A9" s="479" t="str">
        <f>A89</f>
        <v>Bulkhead A to Bulkhead B,C Signal</v>
      </c>
      <c r="B9" s="480">
        <f>B98</f>
        <v>179.38475</v>
      </c>
      <c r="C9" s="480">
        <f>C98</f>
        <v>206.38925</v>
      </c>
      <c r="F9" t="s">
        <v>400</v>
      </c>
    </row>
    <row r="10" spans="1:10" ht="12.75" customHeight="1">
      <c r="A10" s="479" t="str">
        <f>A139</f>
        <v>Bulkhead B to AXB5 JA,JD Power</v>
      </c>
      <c r="B10" s="480">
        <f>B149</f>
        <v>162.648888</v>
      </c>
      <c r="C10" s="480">
        <f>C149</f>
        <v>162.648888</v>
      </c>
      <c r="F10" t="s">
        <v>302</v>
      </c>
      <c r="G10" s="320">
        <f>B43+B51+B75+B77+B91+B93+B141+B143+B158+B171+B173+B188+B201+B203+B205+B207+B215+B217+B219+B221+B245+B254</f>
        <v>42.303999999999995</v>
      </c>
      <c r="H10" s="320">
        <f>C43+C51+C75+C77+C91+C93+C141+C143+C158+B171+B173+B188+B201+B203+B205+B207+B215+B217+B219+B221+B245+B254</f>
        <v>43.054000000000002</v>
      </c>
      <c r="J10" t="s">
        <v>7</v>
      </c>
    </row>
    <row r="11" spans="1:10" ht="12.75" customHeight="1">
      <c r="A11" s="479" t="str">
        <f>A156</f>
        <v>Bulkhead B to AXB5 JB Signal</v>
      </c>
      <c r="B11" s="480">
        <f>B162</f>
        <v>75.205799999999996</v>
      </c>
      <c r="C11" s="480">
        <f>C162</f>
        <v>75.205799999999996</v>
      </c>
    </row>
    <row r="12" spans="1:10" ht="12.75" customHeight="1">
      <c r="A12" s="479" t="str">
        <f>A169</f>
        <v>Bulkhead C to AXB6 JA,JD Power</v>
      </c>
      <c r="B12" s="480">
        <f>B179</f>
        <v>168.37887600000002</v>
      </c>
      <c r="C12" s="480">
        <f t="shared" ref="C12:C17" si="0">B12</f>
        <v>168.37887600000002</v>
      </c>
    </row>
    <row r="13" spans="1:10" ht="12.75" customHeight="1">
      <c r="A13" s="479" t="str">
        <f>A186</f>
        <v>Bulkhead C to AXB5 JB Signal</v>
      </c>
      <c r="B13" s="480">
        <f>B192</f>
        <v>68.978700000000003</v>
      </c>
      <c r="C13" s="480">
        <f t="shared" si="0"/>
        <v>68.978700000000003</v>
      </c>
    </row>
    <row r="14" spans="1:10" ht="12.75" customHeight="1">
      <c r="A14" s="479" t="str">
        <f>A199</f>
        <v>IDPU to SPB Power</v>
      </c>
      <c r="B14" s="480">
        <f>B210</f>
        <v>563.61146400000007</v>
      </c>
      <c r="C14" s="480">
        <f t="shared" si="0"/>
        <v>563.61146400000007</v>
      </c>
    </row>
    <row r="15" spans="1:10" ht="12.75" customHeight="1">
      <c r="A15" s="479" t="str">
        <f>A213</f>
        <v>IDPU to SPB Signal</v>
      </c>
      <c r="B15" s="480">
        <f>B225</f>
        <v>694.5127</v>
      </c>
      <c r="C15" s="480">
        <f t="shared" si="0"/>
        <v>694.5127</v>
      </c>
    </row>
    <row r="16" spans="1:10" ht="12.75" customHeight="1">
      <c r="A16" s="479" t="str">
        <f>A243</f>
        <v>IDPU to MEB, E-Fields</v>
      </c>
      <c r="B16" s="480">
        <f>B248</f>
        <v>62.904000000000003</v>
      </c>
      <c r="C16" s="480">
        <f t="shared" si="0"/>
        <v>62.904000000000003</v>
      </c>
    </row>
    <row r="17" spans="1:9" ht="12.75" customHeight="1" thickBot="1">
      <c r="A17" s="481" t="str">
        <f>A252</f>
        <v>IDPU to MEB, MAG+SCM</v>
      </c>
      <c r="B17" s="489">
        <f>B259</f>
        <v>151.83199999999999</v>
      </c>
      <c r="C17" s="489">
        <f t="shared" si="0"/>
        <v>151.83199999999999</v>
      </c>
    </row>
    <row r="18" spans="1:9" ht="14.25" customHeight="1" thickBot="1">
      <c r="A18" s="490" t="s">
        <v>348</v>
      </c>
      <c r="B18" s="491">
        <f>SUM(B6:B17)</f>
        <v>3229.8049979999996</v>
      </c>
      <c r="C18" s="491">
        <f>SUM(C6:C17)</f>
        <v>3260.1816579999995</v>
      </c>
    </row>
    <row r="19" spans="1:9" ht="14.25" customHeight="1">
      <c r="A19" s="440"/>
    </row>
    <row r="20" spans="1:9" ht="14.25" customHeight="1">
      <c r="A20" s="440"/>
      <c r="B20" s="320"/>
    </row>
    <row r="21" spans="1:9" ht="14.25" customHeight="1">
      <c r="A21" s="440"/>
    </row>
    <row r="22" spans="1:9" ht="14.25" customHeight="1">
      <c r="A22" s="440"/>
    </row>
    <row r="23" spans="1:9" ht="14.25" customHeight="1">
      <c r="A23" s="440"/>
    </row>
    <row r="24" spans="1:9" ht="14.25" customHeight="1">
      <c r="A24" s="440"/>
    </row>
    <row r="25" spans="1:9" ht="14.25" customHeight="1">
      <c r="A25" s="440"/>
    </row>
    <row r="26" spans="1:9" ht="12.75" customHeight="1">
      <c r="A26" s="64" t="s">
        <v>466</v>
      </c>
    </row>
    <row r="27" spans="1:9">
      <c r="A27" s="486" t="s">
        <v>401</v>
      </c>
      <c r="B27" s="487" t="s">
        <v>396</v>
      </c>
    </row>
    <row r="28" spans="1:9">
      <c r="A28" t="s">
        <v>393</v>
      </c>
      <c r="B28" s="466">
        <f>20+6+1</f>
        <v>27</v>
      </c>
      <c r="C28" t="s">
        <v>402</v>
      </c>
      <c r="I28" t="s">
        <v>517</v>
      </c>
    </row>
    <row r="29" spans="1:9">
      <c r="A29" s="2" t="s">
        <v>394</v>
      </c>
      <c r="B29">
        <f>23+9+3</f>
        <v>35</v>
      </c>
    </row>
    <row r="30" spans="1:9">
      <c r="A30" s="2" t="s">
        <v>395</v>
      </c>
      <c r="B30">
        <f>46+12+6</f>
        <v>64</v>
      </c>
    </row>
    <row r="31" spans="1:9">
      <c r="A31" s="2" t="s">
        <v>397</v>
      </c>
      <c r="B31" s="320">
        <v>2.85</v>
      </c>
    </row>
    <row r="32" spans="1:9">
      <c r="A32" t="s">
        <v>399</v>
      </c>
      <c r="B32" s="320">
        <v>3.9</v>
      </c>
    </row>
    <row r="33" spans="1:6">
      <c r="A33" t="s">
        <v>482</v>
      </c>
      <c r="B33" s="320">
        <f>2*B$32*B$39</f>
        <v>8.58</v>
      </c>
    </row>
    <row r="34" spans="1:6">
      <c r="A34" t="s">
        <v>513</v>
      </c>
      <c r="B34" s="320">
        <v>8</v>
      </c>
      <c r="C34" t="s">
        <v>515</v>
      </c>
    </row>
    <row r="35" spans="1:6">
      <c r="A35" t="s">
        <v>302</v>
      </c>
      <c r="B35" s="320">
        <v>8</v>
      </c>
      <c r="C35" t="s">
        <v>403</v>
      </c>
    </row>
    <row r="38" spans="1:6">
      <c r="A38" t="s">
        <v>434</v>
      </c>
      <c r="B38" s="320">
        <v>1.1000000000000001</v>
      </c>
    </row>
    <row r="39" spans="1:6">
      <c r="A39" t="s">
        <v>481</v>
      </c>
      <c r="B39" s="320">
        <v>1.1000000000000001</v>
      </c>
    </row>
    <row r="41" spans="1:6" s="469" customFormat="1" ht="15.75" customHeight="1">
      <c r="A41" s="470" t="s">
        <v>407</v>
      </c>
      <c r="B41" s="471" t="s">
        <v>488</v>
      </c>
      <c r="C41" s="471" t="s">
        <v>491</v>
      </c>
      <c r="D41" s="470"/>
      <c r="E41" s="470"/>
      <c r="F41" s="470"/>
    </row>
    <row r="42" spans="1:6">
      <c r="A42" s="477" t="s">
        <v>347</v>
      </c>
      <c r="B42" s="472">
        <v>2.29</v>
      </c>
      <c r="C42" s="362">
        <f>B42</f>
        <v>2.29</v>
      </c>
      <c r="D42" s="472" t="s">
        <v>7</v>
      </c>
      <c r="E42" s="473"/>
      <c r="F42" s="473"/>
    </row>
    <row r="43" spans="1:6">
      <c r="A43" s="477" t="s">
        <v>404</v>
      </c>
      <c r="B43" s="472">
        <f>B42*$B$38</f>
        <v>2.5190000000000001</v>
      </c>
      <c r="C43" s="472">
        <f>C42*$B$38</f>
        <v>2.5190000000000001</v>
      </c>
      <c r="D43" s="474" t="s">
        <v>7</v>
      </c>
      <c r="E43" s="473"/>
      <c r="F43" s="473"/>
    </row>
    <row r="44" spans="1:6">
      <c r="A44" s="477" t="s">
        <v>409</v>
      </c>
      <c r="B44" s="473">
        <f>$B$30</f>
        <v>64</v>
      </c>
      <c r="C44" s="473">
        <f>$B$30</f>
        <v>64</v>
      </c>
      <c r="D44" s="474" t="s">
        <v>392</v>
      </c>
      <c r="E44" s="437" t="s">
        <v>410</v>
      </c>
      <c r="F44" s="473"/>
    </row>
    <row r="45" spans="1:6">
      <c r="A45" s="477" t="s">
        <v>414</v>
      </c>
      <c r="B45" s="473">
        <f>$B$30</f>
        <v>64</v>
      </c>
      <c r="C45" s="473">
        <f>$B$30</f>
        <v>64</v>
      </c>
      <c r="D45" s="474" t="s">
        <v>392</v>
      </c>
      <c r="E45" s="473"/>
      <c r="F45" s="473"/>
    </row>
    <row r="46" spans="1:6">
      <c r="A46" s="477" t="s">
        <v>421</v>
      </c>
      <c r="B46" s="473">
        <f>2*8*$B$33+$B$35</f>
        <v>145.28</v>
      </c>
      <c r="C46" s="473">
        <f>2*8*$B$33+$B$35</f>
        <v>145.28</v>
      </c>
      <c r="D46" s="474" t="s">
        <v>398</v>
      </c>
      <c r="E46" s="473"/>
      <c r="F46" s="473"/>
    </row>
    <row r="47" spans="1:6">
      <c r="A47" s="467" t="s">
        <v>405</v>
      </c>
      <c r="B47" s="476">
        <f>B46*B43+B44+B45</f>
        <v>493.96032000000002</v>
      </c>
      <c r="C47" s="476">
        <f>C46*C43+C44+C45</f>
        <v>493.96032000000002</v>
      </c>
      <c r="D47" s="475" t="s">
        <v>392</v>
      </c>
      <c r="E47" s="473"/>
      <c r="F47" s="473"/>
    </row>
    <row r="48" spans="1:6">
      <c r="A48" s="147"/>
      <c r="B48" s="473"/>
      <c r="C48" s="474"/>
      <c r="D48" s="473"/>
      <c r="E48" s="474"/>
      <c r="F48" s="473"/>
    </row>
    <row r="49" spans="1:6" ht="25.5">
      <c r="A49" s="470" t="s">
        <v>408</v>
      </c>
      <c r="B49" s="470"/>
      <c r="C49" s="471"/>
      <c r="D49" s="467"/>
      <c r="E49" s="475"/>
      <c r="F49" s="475"/>
    </row>
    <row r="50" spans="1:6">
      <c r="A50" s="477" t="s">
        <v>347</v>
      </c>
      <c r="B50" s="472">
        <f>B42</f>
        <v>2.29</v>
      </c>
      <c r="C50" s="472">
        <f>C42</f>
        <v>2.29</v>
      </c>
      <c r="D50" s="472" t="s">
        <v>7</v>
      </c>
    </row>
    <row r="51" spans="1:6">
      <c r="A51" s="477" t="s">
        <v>404</v>
      </c>
      <c r="B51" s="472">
        <f>B50*$B$38</f>
        <v>2.5190000000000001</v>
      </c>
      <c r="C51" s="472">
        <f>C50*$B$38</f>
        <v>2.5190000000000001</v>
      </c>
      <c r="D51" s="474" t="s">
        <v>7</v>
      </c>
    </row>
    <row r="52" spans="1:6">
      <c r="A52" s="477" t="s">
        <v>411</v>
      </c>
      <c r="B52" s="473">
        <f>$B$29</f>
        <v>35</v>
      </c>
      <c r="C52" s="473">
        <f>$B$29</f>
        <v>35</v>
      </c>
      <c r="D52" s="474" t="s">
        <v>392</v>
      </c>
      <c r="E52" t="s">
        <v>412</v>
      </c>
    </row>
    <row r="53" spans="1:6">
      <c r="A53" s="477" t="s">
        <v>413</v>
      </c>
      <c r="B53" s="473">
        <f>$B$29</f>
        <v>35</v>
      </c>
      <c r="C53" s="473">
        <f>$B$29</f>
        <v>35</v>
      </c>
      <c r="D53" s="474" t="s">
        <v>392</v>
      </c>
    </row>
    <row r="54" spans="1:6">
      <c r="A54" s="477" t="s">
        <v>428</v>
      </c>
      <c r="B54" s="473">
        <f>2*(2*$B$34+5*$B$31)+$B$35</f>
        <v>68.5</v>
      </c>
      <c r="C54" s="473">
        <f>2*(2*$B$34+5*$B$31)+$B$35</f>
        <v>68.5</v>
      </c>
      <c r="D54" s="474" t="s">
        <v>398</v>
      </c>
    </row>
    <row r="55" spans="1:6">
      <c r="A55" s="467" t="s">
        <v>405</v>
      </c>
      <c r="B55" s="476">
        <f>B54*B51+B52+B53</f>
        <v>242.5515</v>
      </c>
      <c r="C55" s="476">
        <f>C54*C51+C52+C53</f>
        <v>242.5515</v>
      </c>
      <c r="D55" s="475" t="s">
        <v>392</v>
      </c>
    </row>
    <row r="56" spans="1:6">
      <c r="A56" s="467"/>
      <c r="B56" s="468"/>
    </row>
    <row r="68" spans="1:9" ht="18">
      <c r="H68" s="493"/>
    </row>
    <row r="69" spans="1:9" ht="15">
      <c r="A69" s="478"/>
      <c r="B69" s="147"/>
      <c r="C69" s="147"/>
      <c r="D69" s="147"/>
      <c r="E69" s="147"/>
      <c r="H69" s="494"/>
      <c r="I69" s="494"/>
    </row>
    <row r="70" spans="1:9">
      <c r="A70" s="473"/>
      <c r="B70" s="147"/>
      <c r="C70" s="473"/>
      <c r="D70" s="473"/>
      <c r="E70" s="147"/>
    </row>
    <row r="71" spans="1:9">
      <c r="A71" s="473"/>
      <c r="B71" s="473"/>
      <c r="C71" s="473"/>
      <c r="D71" s="472"/>
      <c r="E71" s="147"/>
    </row>
    <row r="72" spans="1:9">
      <c r="A72" s="473"/>
      <c r="B72" s="473"/>
      <c r="C72" s="473"/>
      <c r="D72" s="147"/>
      <c r="E72" s="147"/>
    </row>
    <row r="73" spans="1:9" ht="25.5">
      <c r="A73" s="470" t="s">
        <v>415</v>
      </c>
      <c r="B73" s="471" t="s">
        <v>488</v>
      </c>
      <c r="C73" s="471" t="s">
        <v>491</v>
      </c>
      <c r="D73" s="467"/>
      <c r="E73" s="147"/>
    </row>
    <row r="74" spans="1:9">
      <c r="A74" s="477" t="s">
        <v>417</v>
      </c>
      <c r="B74" s="472">
        <v>1.51</v>
      </c>
      <c r="C74" s="472">
        <v>1.64</v>
      </c>
      <c r="D74" s="472" t="s">
        <v>7</v>
      </c>
      <c r="E74" s="147"/>
    </row>
    <row r="75" spans="1:9">
      <c r="A75" s="477" t="s">
        <v>418</v>
      </c>
      <c r="B75" s="472">
        <f>B74*$B$38</f>
        <v>1.6610000000000003</v>
      </c>
      <c r="C75" s="472">
        <f>C74*$B$38</f>
        <v>1.804</v>
      </c>
      <c r="D75" s="474" t="s">
        <v>7</v>
      </c>
      <c r="E75" s="147"/>
    </row>
    <row r="76" spans="1:9">
      <c r="A76" s="477" t="s">
        <v>419</v>
      </c>
      <c r="B76" s="472">
        <v>1.24</v>
      </c>
      <c r="C76" s="472">
        <v>1.1499999999999999</v>
      </c>
      <c r="D76" s="474" t="s">
        <v>7</v>
      </c>
      <c r="E76" s="147"/>
    </row>
    <row r="77" spans="1:9">
      <c r="A77" s="477" t="s">
        <v>420</v>
      </c>
      <c r="B77" s="472">
        <f>B76*$B$38</f>
        <v>1.3640000000000001</v>
      </c>
      <c r="C77" s="472">
        <f>C76*$B$38</f>
        <v>1.2649999999999999</v>
      </c>
      <c r="D77" s="474" t="s">
        <v>7</v>
      </c>
      <c r="E77" s="147"/>
    </row>
    <row r="78" spans="1:9">
      <c r="A78" s="477" t="s">
        <v>414</v>
      </c>
      <c r="B78" s="473">
        <f>$B$30</f>
        <v>64</v>
      </c>
      <c r="C78" s="473">
        <f>$B$30</f>
        <v>64</v>
      </c>
      <c r="D78" s="474" t="s">
        <v>392</v>
      </c>
      <c r="E78" s="147"/>
    </row>
    <row r="79" spans="1:9">
      <c r="A79" s="477" t="s">
        <v>416</v>
      </c>
      <c r="B79" s="473">
        <f>$B$29</f>
        <v>35</v>
      </c>
      <c r="C79" s="473">
        <f>$B$29</f>
        <v>35</v>
      </c>
      <c r="D79" s="474" t="s">
        <v>392</v>
      </c>
      <c r="E79" s="147"/>
    </row>
    <row r="80" spans="1:9">
      <c r="A80" s="477" t="s">
        <v>424</v>
      </c>
      <c r="B80" s="473">
        <f>$B$29</f>
        <v>35</v>
      </c>
      <c r="C80" s="473">
        <f>$B$29</f>
        <v>35</v>
      </c>
      <c r="D80" s="474" t="s">
        <v>392</v>
      </c>
      <c r="E80" s="147"/>
    </row>
    <row r="81" spans="1:5">
      <c r="A81" s="477" t="s">
        <v>423</v>
      </c>
      <c r="B81" s="473">
        <f>8*$B$33+$B$35</f>
        <v>76.64</v>
      </c>
      <c r="C81" s="473">
        <f>8*$B$33+$B$35</f>
        <v>76.64</v>
      </c>
      <c r="D81" s="474" t="s">
        <v>398</v>
      </c>
      <c r="E81" s="147"/>
    </row>
    <row r="82" spans="1:5">
      <c r="A82" s="467" t="s">
        <v>405</v>
      </c>
      <c r="B82" s="476">
        <f>B81*(B75+B77)+B78+B79+B80</f>
        <v>365.83600000000001</v>
      </c>
      <c r="C82" s="476">
        <f>C81*(C75+C77)+C78+C79+C80</f>
        <v>369.20816000000002</v>
      </c>
      <c r="D82" s="475" t="s">
        <v>392</v>
      </c>
      <c r="E82" s="147"/>
    </row>
    <row r="83" spans="1:5">
      <c r="A83" s="473"/>
      <c r="B83" s="473"/>
      <c r="C83" s="473"/>
      <c r="D83" s="472"/>
      <c r="E83" s="147"/>
    </row>
    <row r="84" spans="1:5">
      <c r="A84" s="473"/>
      <c r="B84" s="473"/>
      <c r="C84" s="473"/>
      <c r="D84" s="147"/>
      <c r="E84" s="147"/>
    </row>
    <row r="85" spans="1:5">
      <c r="A85" s="473"/>
      <c r="B85" s="473"/>
      <c r="C85" s="473"/>
      <c r="D85" s="472"/>
      <c r="E85" s="147"/>
    </row>
    <row r="86" spans="1:5">
      <c r="A86" s="473"/>
      <c r="B86" s="473"/>
      <c r="C86" s="473"/>
      <c r="D86" s="147"/>
      <c r="E86" s="147"/>
    </row>
    <row r="87" spans="1:5">
      <c r="A87" s="147"/>
      <c r="B87" s="147"/>
      <c r="C87" s="147"/>
      <c r="D87" s="472"/>
      <c r="E87" s="147"/>
    </row>
    <row r="88" spans="1:5">
      <c r="A88" s="147"/>
      <c r="B88" s="147"/>
      <c r="C88" s="147"/>
      <c r="D88" s="473"/>
      <c r="E88" s="147"/>
    </row>
    <row r="89" spans="1:5" ht="25.5">
      <c r="A89" s="470" t="s">
        <v>425</v>
      </c>
      <c r="B89" s="471" t="s">
        <v>488</v>
      </c>
      <c r="C89" s="471" t="s">
        <v>491</v>
      </c>
    </row>
    <row r="90" spans="1:5">
      <c r="A90" s="477" t="s">
        <v>417</v>
      </c>
      <c r="B90" s="472">
        <f>B74</f>
        <v>1.51</v>
      </c>
      <c r="C90" s="472">
        <f>C74</f>
        <v>1.64</v>
      </c>
      <c r="D90" s="472" t="s">
        <v>7</v>
      </c>
    </row>
    <row r="91" spans="1:5">
      <c r="A91" s="477" t="s">
        <v>418</v>
      </c>
      <c r="B91" s="472">
        <f>B90*$B$38</f>
        <v>1.6610000000000003</v>
      </c>
      <c r="C91" s="472">
        <f>C90*$B$38</f>
        <v>1.804</v>
      </c>
      <c r="D91" s="474" t="s">
        <v>7</v>
      </c>
    </row>
    <row r="92" spans="1:5">
      <c r="A92" s="477" t="s">
        <v>419</v>
      </c>
      <c r="B92" s="472">
        <f>B76</f>
        <v>1.24</v>
      </c>
      <c r="C92" s="472">
        <f>C76</f>
        <v>1.1499999999999999</v>
      </c>
      <c r="D92" s="474" t="s">
        <v>7</v>
      </c>
    </row>
    <row r="93" spans="1:5">
      <c r="A93" s="477" t="s">
        <v>420</v>
      </c>
      <c r="B93" s="472">
        <v>0.70199999999999996</v>
      </c>
      <c r="C93" s="472">
        <f>C92*$B$38</f>
        <v>1.2649999999999999</v>
      </c>
      <c r="D93" s="474" t="s">
        <v>7</v>
      </c>
    </row>
    <row r="94" spans="1:5">
      <c r="A94" s="477" t="s">
        <v>413</v>
      </c>
      <c r="B94" s="473">
        <f>$B$29</f>
        <v>35</v>
      </c>
      <c r="C94" s="473">
        <f>$B$29</f>
        <v>35</v>
      </c>
      <c r="D94" s="474" t="s">
        <v>392</v>
      </c>
    </row>
    <row r="95" spans="1:5">
      <c r="A95" s="477" t="s">
        <v>426</v>
      </c>
      <c r="B95" s="473">
        <f>$B$28</f>
        <v>27</v>
      </c>
      <c r="C95" s="473">
        <f>$B$28</f>
        <v>27</v>
      </c>
      <c r="D95" s="474" t="s">
        <v>392</v>
      </c>
    </row>
    <row r="96" spans="1:5">
      <c r="A96" s="477" t="s">
        <v>427</v>
      </c>
      <c r="B96" s="473">
        <f>$B$28</f>
        <v>27</v>
      </c>
      <c r="C96" s="473">
        <f>$B$28</f>
        <v>27</v>
      </c>
      <c r="D96" s="474" t="s">
        <v>392</v>
      </c>
    </row>
    <row r="97" spans="1:4">
      <c r="A97" s="477" t="s">
        <v>422</v>
      </c>
      <c r="B97" s="473">
        <f>(2*$B$34+5*$B$31)+$B$35</f>
        <v>38.25</v>
      </c>
      <c r="C97" s="473">
        <f>(2*$B$34+5*$B$31)+$B$35</f>
        <v>38.25</v>
      </c>
      <c r="D97" s="474" t="s">
        <v>398</v>
      </c>
    </row>
    <row r="98" spans="1:4">
      <c r="A98" s="467" t="s">
        <v>405</v>
      </c>
      <c r="B98" s="476">
        <f>B97*(B91+B93)+B94+B95+B96</f>
        <v>179.38475</v>
      </c>
      <c r="C98" s="476">
        <f>C97*(C91+C93)+C94+C95+C96</f>
        <v>206.38925</v>
      </c>
      <c r="D98" s="475" t="s">
        <v>392</v>
      </c>
    </row>
    <row r="139" spans="1:4" ht="25.5">
      <c r="A139" s="470" t="s">
        <v>429</v>
      </c>
      <c r="B139" s="471" t="s">
        <v>488</v>
      </c>
      <c r="C139" s="471" t="s">
        <v>491</v>
      </c>
    </row>
    <row r="140" spans="1:4">
      <c r="A140" s="477" t="s">
        <v>431</v>
      </c>
      <c r="B140" s="472">
        <v>0.35099999999999998</v>
      </c>
      <c r="C140" s="472">
        <f>B140</f>
        <v>0.35099999999999998</v>
      </c>
      <c r="D140" s="472" t="s">
        <v>7</v>
      </c>
    </row>
    <row r="141" spans="1:4">
      <c r="A141" s="477" t="s">
        <v>432</v>
      </c>
      <c r="B141" s="472">
        <f>B140*$B$38</f>
        <v>0.3861</v>
      </c>
      <c r="C141" s="472">
        <f>C140*$B$38</f>
        <v>0.3861</v>
      </c>
      <c r="D141" s="474" t="s">
        <v>7</v>
      </c>
    </row>
    <row r="142" spans="1:4">
      <c r="A142" s="477" t="s">
        <v>430</v>
      </c>
      <c r="B142" s="472">
        <v>0.378</v>
      </c>
      <c r="C142" s="472">
        <f>B142</f>
        <v>0.378</v>
      </c>
      <c r="D142" s="474" t="s">
        <v>7</v>
      </c>
    </row>
    <row r="143" spans="1:4">
      <c r="A143" s="477" t="s">
        <v>433</v>
      </c>
      <c r="B143" s="472">
        <f>B142*$B$38</f>
        <v>0.41580000000000006</v>
      </c>
      <c r="C143" s="472">
        <f>C142*$B$38</f>
        <v>0.41580000000000006</v>
      </c>
      <c r="D143" s="474" t="s">
        <v>7</v>
      </c>
    </row>
    <row r="144" spans="1:4">
      <c r="A144" s="477" t="s">
        <v>416</v>
      </c>
      <c r="B144" s="472">
        <f t="shared" ref="B144:C146" si="1">$B$29</f>
        <v>35</v>
      </c>
      <c r="C144" s="472">
        <f t="shared" si="1"/>
        <v>35</v>
      </c>
      <c r="D144" s="474" t="s">
        <v>392</v>
      </c>
    </row>
    <row r="145" spans="1:4">
      <c r="A145" s="477" t="s">
        <v>435</v>
      </c>
      <c r="B145" s="472">
        <f t="shared" si="1"/>
        <v>35</v>
      </c>
      <c r="C145" s="472">
        <f t="shared" si="1"/>
        <v>35</v>
      </c>
      <c r="D145" s="474" t="s">
        <v>392</v>
      </c>
    </row>
    <row r="146" spans="1:4">
      <c r="A146" s="477" t="s">
        <v>436</v>
      </c>
      <c r="B146" s="472">
        <f t="shared" si="1"/>
        <v>35</v>
      </c>
      <c r="C146" s="472">
        <f t="shared" si="1"/>
        <v>35</v>
      </c>
      <c r="D146" s="474" t="s">
        <v>392</v>
      </c>
    </row>
    <row r="147" spans="1:4">
      <c r="A147" s="477" t="s">
        <v>437</v>
      </c>
      <c r="B147" s="472">
        <f>8*$B$33+$B$35</f>
        <v>76.64</v>
      </c>
      <c r="C147" s="472">
        <f>8*$B$33+$B$35</f>
        <v>76.64</v>
      </c>
      <c r="D147" s="474" t="s">
        <v>398</v>
      </c>
    </row>
    <row r="148" spans="1:4">
      <c r="A148" s="477" t="s">
        <v>438</v>
      </c>
      <c r="B148" s="472">
        <f>6*$B$33+$B$34+$B$35</f>
        <v>67.48</v>
      </c>
      <c r="C148" s="472">
        <f>6*$B$33+$B$34+$B$35</f>
        <v>67.48</v>
      </c>
      <c r="D148" s="474" t="s">
        <v>398</v>
      </c>
    </row>
    <row r="149" spans="1:4">
      <c r="A149" s="467" t="s">
        <v>405</v>
      </c>
      <c r="B149" s="476">
        <f>B141*B147+B143*B148+B144+B145+B146</f>
        <v>162.648888</v>
      </c>
      <c r="C149" s="476">
        <f>C141*C147+C143*C148+C144+C145+C146</f>
        <v>162.648888</v>
      </c>
      <c r="D149" s="475" t="s">
        <v>392</v>
      </c>
    </row>
    <row r="150" spans="1:4">
      <c r="A150" s="473"/>
      <c r="B150" s="473"/>
      <c r="C150" s="473"/>
      <c r="D150" s="473"/>
    </row>
    <row r="151" spans="1:4">
      <c r="A151" s="473"/>
      <c r="B151" s="473"/>
      <c r="C151" s="473"/>
    </row>
    <row r="152" spans="1:4">
      <c r="A152" s="473"/>
      <c r="B152" s="473"/>
      <c r="C152" s="473"/>
    </row>
    <row r="153" spans="1:4">
      <c r="A153" s="473"/>
      <c r="B153" s="473"/>
      <c r="C153" s="473"/>
    </row>
    <row r="154" spans="1:4">
      <c r="A154" s="147"/>
      <c r="B154" s="147"/>
      <c r="C154" s="147"/>
    </row>
    <row r="155" spans="1:4">
      <c r="A155" s="147"/>
      <c r="B155" s="147"/>
      <c r="C155" s="147"/>
    </row>
    <row r="156" spans="1:4">
      <c r="A156" s="470" t="s">
        <v>439</v>
      </c>
      <c r="B156" s="471" t="s">
        <v>488</v>
      </c>
      <c r="C156" s="471" t="s">
        <v>491</v>
      </c>
    </row>
    <row r="157" spans="1:4">
      <c r="A157" s="477" t="s">
        <v>440</v>
      </c>
      <c r="B157" s="472">
        <v>0.504</v>
      </c>
      <c r="C157" s="472">
        <v>0.504</v>
      </c>
      <c r="D157" s="472" t="s">
        <v>7</v>
      </c>
    </row>
    <row r="158" spans="1:4">
      <c r="A158" s="477" t="s">
        <v>441</v>
      </c>
      <c r="B158" s="472">
        <f>B157*$B$38</f>
        <v>0.5544</v>
      </c>
      <c r="C158" s="472">
        <f>C157*$B$38</f>
        <v>0.5544</v>
      </c>
      <c r="D158" s="474" t="s">
        <v>7</v>
      </c>
    </row>
    <row r="159" spans="1:4">
      <c r="A159" s="477" t="s">
        <v>426</v>
      </c>
      <c r="B159" s="473">
        <f>$B$28</f>
        <v>27</v>
      </c>
      <c r="C159" s="473">
        <f>$B$28</f>
        <v>27</v>
      </c>
      <c r="D159" s="474" t="s">
        <v>392</v>
      </c>
    </row>
    <row r="160" spans="1:4">
      <c r="A160" s="477" t="s">
        <v>442</v>
      </c>
      <c r="B160" s="473">
        <f>$B$28</f>
        <v>27</v>
      </c>
      <c r="C160" s="473">
        <f>$B$28</f>
        <v>27</v>
      </c>
      <c r="D160" s="474" t="s">
        <v>392</v>
      </c>
    </row>
    <row r="161" spans="1:4">
      <c r="A161" s="477" t="s">
        <v>422</v>
      </c>
      <c r="B161" s="473">
        <f>(2*$B$34+5*$B$31)+$B$35</f>
        <v>38.25</v>
      </c>
      <c r="C161" s="473">
        <f>(2*$B$34+5*$B$31)+$B$35</f>
        <v>38.25</v>
      </c>
      <c r="D161" s="474" t="s">
        <v>398</v>
      </c>
    </row>
    <row r="162" spans="1:4">
      <c r="A162" s="467" t="s">
        <v>405</v>
      </c>
      <c r="B162" s="476">
        <f>B161*B158+B159+B160</f>
        <v>75.205799999999996</v>
      </c>
      <c r="C162" s="476">
        <f>C161*C158+C159+C160</f>
        <v>75.205799999999996</v>
      </c>
      <c r="D162" s="475" t="s">
        <v>392</v>
      </c>
    </row>
    <row r="169" spans="1:4" ht="25.5">
      <c r="A169" s="470" t="s">
        <v>443</v>
      </c>
      <c r="B169" s="59" t="s">
        <v>496</v>
      </c>
      <c r="C169" s="471"/>
    </row>
    <row r="170" spans="1:4">
      <c r="A170" s="477" t="s">
        <v>444</v>
      </c>
      <c r="B170" s="472">
        <v>0.40400000000000003</v>
      </c>
      <c r="C170" s="472" t="s">
        <v>7</v>
      </c>
    </row>
    <row r="171" spans="1:4">
      <c r="A171" s="477" t="s">
        <v>445</v>
      </c>
      <c r="B171" s="472">
        <f>B170*B$38</f>
        <v>0.44440000000000007</v>
      </c>
      <c r="C171" s="474" t="s">
        <v>7</v>
      </c>
    </row>
    <row r="172" spans="1:4">
      <c r="A172" s="477" t="s">
        <v>430</v>
      </c>
      <c r="B172" s="472">
        <v>0.39500000000000002</v>
      </c>
      <c r="C172" s="474" t="s">
        <v>7</v>
      </c>
    </row>
    <row r="173" spans="1:4">
      <c r="A173" s="477" t="s">
        <v>433</v>
      </c>
      <c r="B173" s="472">
        <f>B172*B$38</f>
        <v>0.43450000000000005</v>
      </c>
      <c r="C173" s="474" t="s">
        <v>7</v>
      </c>
    </row>
    <row r="174" spans="1:4">
      <c r="A174" s="477" t="s">
        <v>416</v>
      </c>
      <c r="B174" s="472">
        <f>B$29</f>
        <v>35</v>
      </c>
      <c r="C174" s="474" t="s">
        <v>392</v>
      </c>
    </row>
    <row r="175" spans="1:4">
      <c r="A175" s="477" t="s">
        <v>435</v>
      </c>
      <c r="B175" s="472">
        <f>B$29</f>
        <v>35</v>
      </c>
      <c r="C175" s="474" t="s">
        <v>392</v>
      </c>
    </row>
    <row r="176" spans="1:4">
      <c r="A176" s="477" t="s">
        <v>436</v>
      </c>
      <c r="B176" s="472">
        <f>B$29</f>
        <v>35</v>
      </c>
      <c r="C176" s="474" t="s">
        <v>392</v>
      </c>
    </row>
    <row r="177" spans="1:3">
      <c r="A177" s="477" t="s">
        <v>437</v>
      </c>
      <c r="B177" s="472">
        <f>8*B$33+B$35</f>
        <v>76.64</v>
      </c>
      <c r="C177" s="474" t="s">
        <v>398</v>
      </c>
    </row>
    <row r="178" spans="1:3">
      <c r="A178" s="477" t="s">
        <v>438</v>
      </c>
      <c r="B178" s="472">
        <f>6*B$33+B$34+B$35</f>
        <v>67.48</v>
      </c>
      <c r="C178" s="474" t="s">
        <v>398</v>
      </c>
    </row>
    <row r="179" spans="1:3">
      <c r="A179" s="467" t="s">
        <v>405</v>
      </c>
      <c r="B179" s="476">
        <f>B171*B177+B173*B178+B174+B175+B176</f>
        <v>168.37887600000002</v>
      </c>
      <c r="C179" s="475" t="s">
        <v>392</v>
      </c>
    </row>
    <row r="180" spans="1:3">
      <c r="A180" s="473"/>
      <c r="B180" s="473"/>
      <c r="C180" s="473"/>
    </row>
    <row r="181" spans="1:3">
      <c r="A181" s="473"/>
      <c r="B181" s="473"/>
      <c r="C181" s="473"/>
    </row>
    <row r="182" spans="1:3">
      <c r="A182" s="473"/>
      <c r="B182" s="473"/>
      <c r="C182" s="473"/>
    </row>
    <row r="183" spans="1:3">
      <c r="A183" s="473"/>
      <c r="B183" s="473"/>
      <c r="C183" s="473"/>
    </row>
    <row r="184" spans="1:3">
      <c r="A184" s="147"/>
      <c r="B184" s="147"/>
      <c r="C184" s="147"/>
    </row>
    <row r="185" spans="1:3">
      <c r="A185" s="147"/>
      <c r="B185" s="147"/>
      <c r="C185" s="147"/>
    </row>
    <row r="186" spans="1:3">
      <c r="A186" s="470" t="s">
        <v>448</v>
      </c>
      <c r="B186" s="59" t="s">
        <v>496</v>
      </c>
      <c r="C186" s="471"/>
    </row>
    <row r="187" spans="1:3">
      <c r="A187" s="477" t="s">
        <v>446</v>
      </c>
      <c r="B187" s="472">
        <v>0.35599999999999998</v>
      </c>
      <c r="C187" s="472" t="s">
        <v>7</v>
      </c>
    </row>
    <row r="188" spans="1:3">
      <c r="A188" s="477" t="s">
        <v>447</v>
      </c>
      <c r="B188" s="472">
        <f>B187*B$38</f>
        <v>0.3916</v>
      </c>
      <c r="C188" s="474" t="s">
        <v>7</v>
      </c>
    </row>
    <row r="189" spans="1:3">
      <c r="A189" s="477" t="s">
        <v>427</v>
      </c>
      <c r="B189" s="473">
        <f>B$28</f>
        <v>27</v>
      </c>
      <c r="C189" s="474" t="s">
        <v>392</v>
      </c>
    </row>
    <row r="190" spans="1:3">
      <c r="A190" s="477" t="s">
        <v>442</v>
      </c>
      <c r="B190" s="473">
        <f>B$28</f>
        <v>27</v>
      </c>
      <c r="C190" s="474" t="s">
        <v>392</v>
      </c>
    </row>
    <row r="191" spans="1:3">
      <c r="A191" s="477" t="s">
        <v>422</v>
      </c>
      <c r="B191" s="473">
        <f>(2*B$34+5*B$31)+B$35</f>
        <v>38.25</v>
      </c>
      <c r="C191" s="474" t="s">
        <v>398</v>
      </c>
    </row>
    <row r="192" spans="1:3">
      <c r="A192" s="467" t="s">
        <v>405</v>
      </c>
      <c r="B192" s="476">
        <f>B191*B188+B189+B190</f>
        <v>68.978700000000003</v>
      </c>
      <c r="C192" s="475" t="s">
        <v>392</v>
      </c>
    </row>
    <row r="199" spans="1:4">
      <c r="A199" s="64" t="s">
        <v>449</v>
      </c>
      <c r="B199" s="59" t="s">
        <v>496</v>
      </c>
    </row>
    <row r="200" spans="1:4">
      <c r="A200" s="488" t="s">
        <v>450</v>
      </c>
      <c r="B200" s="362">
        <v>2.9369999999999998</v>
      </c>
      <c r="C200" s="300" t="s">
        <v>7</v>
      </c>
    </row>
    <row r="201" spans="1:4">
      <c r="A201" s="488" t="s">
        <v>451</v>
      </c>
      <c r="B201" s="472">
        <f>B200*B$38</f>
        <v>3.2307000000000001</v>
      </c>
      <c r="C201" s="300" t="s">
        <v>7</v>
      </c>
    </row>
    <row r="202" spans="1:4">
      <c r="A202" s="488" t="s">
        <v>452</v>
      </c>
      <c r="B202" s="362">
        <v>3.206</v>
      </c>
      <c r="C202" s="300" t="s">
        <v>7</v>
      </c>
    </row>
    <row r="203" spans="1:4">
      <c r="A203" s="488" t="s">
        <v>453</v>
      </c>
      <c r="B203" s="472">
        <f>B202*B$38</f>
        <v>3.5266000000000002</v>
      </c>
      <c r="C203" s="300" t="s">
        <v>7</v>
      </c>
    </row>
    <row r="204" spans="1:4">
      <c r="A204" s="488" t="s">
        <v>454</v>
      </c>
      <c r="B204" s="362">
        <v>3.8279999999999998</v>
      </c>
      <c r="C204" s="300" t="s">
        <v>7</v>
      </c>
    </row>
    <row r="205" spans="1:4">
      <c r="A205" s="488" t="s">
        <v>455</v>
      </c>
      <c r="B205" s="472">
        <f>B204*B$38</f>
        <v>4.2107999999999999</v>
      </c>
      <c r="C205" s="300" t="s">
        <v>7</v>
      </c>
    </row>
    <row r="206" spans="1:4">
      <c r="A206" s="488" t="s">
        <v>456</v>
      </c>
      <c r="B206" s="362">
        <v>2.3050000000000002</v>
      </c>
      <c r="C206" s="300" t="s">
        <v>7</v>
      </c>
    </row>
    <row r="207" spans="1:4">
      <c r="A207" s="488" t="s">
        <v>457</v>
      </c>
      <c r="B207" s="472">
        <f>B206*B$38</f>
        <v>2.5355000000000003</v>
      </c>
      <c r="C207" s="300" t="s">
        <v>7</v>
      </c>
    </row>
    <row r="208" spans="1:4">
      <c r="A208" s="488" t="s">
        <v>462</v>
      </c>
      <c r="B208" s="472">
        <f>B$28</f>
        <v>27</v>
      </c>
      <c r="C208" s="300" t="s">
        <v>392</v>
      </c>
      <c r="D208" t="s">
        <v>459</v>
      </c>
    </row>
    <row r="209" spans="1:4">
      <c r="A209" s="488" t="s">
        <v>458</v>
      </c>
      <c r="B209" s="362">
        <f>3*B$33+B$35</f>
        <v>33.74</v>
      </c>
      <c r="C209" s="300" t="s">
        <v>398</v>
      </c>
    </row>
    <row r="210" spans="1:4">
      <c r="A210" s="467" t="s">
        <v>405</v>
      </c>
      <c r="B210" s="476">
        <f>B209*(B201+B203+B205+B207)+4*B208</f>
        <v>563.61146400000007</v>
      </c>
      <c r="C210" s="475" t="s">
        <v>392</v>
      </c>
    </row>
    <row r="211" spans="1:4">
      <c r="A211" s="488"/>
      <c r="B211" s="362"/>
      <c r="C211" s="300"/>
    </row>
    <row r="212" spans="1:4">
      <c r="B212" s="362"/>
      <c r="C212" s="300"/>
    </row>
    <row r="213" spans="1:4">
      <c r="A213" s="64" t="s">
        <v>460</v>
      </c>
      <c r="B213" s="59" t="s">
        <v>496</v>
      </c>
    </row>
    <row r="214" spans="1:4">
      <c r="A214" s="488" t="s">
        <v>450</v>
      </c>
      <c r="B214" s="362">
        <f>B200</f>
        <v>2.9369999999999998</v>
      </c>
      <c r="C214" s="300" t="s">
        <v>7</v>
      </c>
    </row>
    <row r="215" spans="1:4">
      <c r="A215" s="488" t="s">
        <v>451</v>
      </c>
      <c r="B215" s="472">
        <f>B214*B$38</f>
        <v>3.2307000000000001</v>
      </c>
      <c r="C215" s="300" t="s">
        <v>7</v>
      </c>
    </row>
    <row r="216" spans="1:4">
      <c r="A216" s="488" t="s">
        <v>452</v>
      </c>
      <c r="B216" s="362">
        <f>B202</f>
        <v>3.206</v>
      </c>
      <c r="C216" s="300" t="s">
        <v>7</v>
      </c>
    </row>
    <row r="217" spans="1:4">
      <c r="A217" s="488" t="s">
        <v>453</v>
      </c>
      <c r="B217" s="472">
        <f>B216*B$38</f>
        <v>3.5266000000000002</v>
      </c>
      <c r="C217" s="300" t="s">
        <v>7</v>
      </c>
    </row>
    <row r="218" spans="1:4">
      <c r="A218" s="488" t="s">
        <v>454</v>
      </c>
      <c r="B218" s="362">
        <f>B204</f>
        <v>3.8279999999999998</v>
      </c>
      <c r="C218" s="300" t="s">
        <v>7</v>
      </c>
    </row>
    <row r="219" spans="1:4">
      <c r="A219" s="488" t="s">
        <v>455</v>
      </c>
      <c r="B219" s="472">
        <f>B218*B$38</f>
        <v>4.2107999999999999</v>
      </c>
      <c r="C219" s="300" t="s">
        <v>7</v>
      </c>
    </row>
    <row r="220" spans="1:4">
      <c r="A220" s="488" t="s">
        <v>456</v>
      </c>
      <c r="B220" s="362">
        <f>B206</f>
        <v>2.3050000000000002</v>
      </c>
      <c r="C220" s="300" t="s">
        <v>7</v>
      </c>
    </row>
    <row r="221" spans="1:4">
      <c r="A221" s="488" t="s">
        <v>457</v>
      </c>
      <c r="B221" s="472">
        <f>B220*B$38</f>
        <v>2.5355000000000003</v>
      </c>
      <c r="C221" s="300" t="s">
        <v>7</v>
      </c>
    </row>
    <row r="222" spans="1:4">
      <c r="A222" s="488" t="s">
        <v>463</v>
      </c>
      <c r="B222" s="472">
        <f>B$28</f>
        <v>27</v>
      </c>
      <c r="C222" s="300" t="s">
        <v>392</v>
      </c>
    </row>
    <row r="223" spans="1:4">
      <c r="A223" s="488" t="s">
        <v>464</v>
      </c>
      <c r="B223" s="472">
        <f>B29</f>
        <v>35</v>
      </c>
      <c r="C223" s="300" t="s">
        <v>392</v>
      </c>
      <c r="D223" t="s">
        <v>465</v>
      </c>
    </row>
    <row r="224" spans="1:4">
      <c r="A224" s="488" t="s">
        <v>461</v>
      </c>
      <c r="B224" s="362">
        <f>2*B$34+5*B$31+B$35</f>
        <v>38.25</v>
      </c>
      <c r="C224" s="300" t="s">
        <v>398</v>
      </c>
    </row>
    <row r="225" spans="1:9">
      <c r="A225" s="467" t="s">
        <v>405</v>
      </c>
      <c r="B225" s="476">
        <f>B224*(B215+B217+B219+B221)+B222*4+B223*2</f>
        <v>694.5127</v>
      </c>
      <c r="C225" s="475" t="s">
        <v>392</v>
      </c>
    </row>
    <row r="240" spans="1:9">
      <c r="I240" t="s">
        <v>478</v>
      </c>
    </row>
    <row r="243" spans="1:4">
      <c r="A243" s="64" t="s">
        <v>469</v>
      </c>
      <c r="B243" s="59" t="s">
        <v>496</v>
      </c>
    </row>
    <row r="244" spans="1:4">
      <c r="A244" s="488" t="s">
        <v>467</v>
      </c>
      <c r="B244" s="362">
        <v>1.02</v>
      </c>
      <c r="C244" s="300" t="s">
        <v>7</v>
      </c>
    </row>
    <row r="245" spans="1:4">
      <c r="A245" s="488" t="s">
        <v>468</v>
      </c>
      <c r="B245" s="472">
        <f>B244*B$38</f>
        <v>1.1220000000000001</v>
      </c>
      <c r="C245" s="300" t="s">
        <v>7</v>
      </c>
    </row>
    <row r="246" spans="1:4">
      <c r="A246" s="488" t="s">
        <v>473</v>
      </c>
      <c r="B246" s="472">
        <f>B$28</f>
        <v>27</v>
      </c>
      <c r="C246" s="300" t="s">
        <v>392</v>
      </c>
      <c r="D246" t="s">
        <v>470</v>
      </c>
    </row>
    <row r="247" spans="1:4">
      <c r="A247" s="488" t="s">
        <v>471</v>
      </c>
      <c r="B247" s="362">
        <f>3*B$34+B$35</f>
        <v>32</v>
      </c>
      <c r="C247" s="300" t="s">
        <v>398</v>
      </c>
    </row>
    <row r="248" spans="1:4">
      <c r="A248" s="467" t="s">
        <v>405</v>
      </c>
      <c r="B248" s="476">
        <f>B247*B245+B246</f>
        <v>62.904000000000003</v>
      </c>
      <c r="C248" s="475" t="s">
        <v>392</v>
      </c>
    </row>
    <row r="252" spans="1:4">
      <c r="A252" s="64" t="s">
        <v>472</v>
      </c>
      <c r="B252" s="59" t="s">
        <v>496</v>
      </c>
    </row>
    <row r="253" spans="1:4">
      <c r="A253" s="488" t="s">
        <v>467</v>
      </c>
      <c r="B253" s="362">
        <f>B244</f>
        <v>1.02</v>
      </c>
      <c r="C253" s="300" t="s">
        <v>7</v>
      </c>
    </row>
    <row r="254" spans="1:4">
      <c r="A254" s="488" t="s">
        <v>468</v>
      </c>
      <c r="B254" s="472">
        <f>B253*B$38</f>
        <v>1.1220000000000001</v>
      </c>
      <c r="C254" s="300" t="s">
        <v>7</v>
      </c>
    </row>
    <row r="255" spans="1:4">
      <c r="A255" s="488" t="s">
        <v>474</v>
      </c>
      <c r="B255" s="472">
        <f>B$28</f>
        <v>27</v>
      </c>
      <c r="C255" s="300" t="s">
        <v>392</v>
      </c>
    </row>
    <row r="256" spans="1:4">
      <c r="A256" s="488" t="s">
        <v>475</v>
      </c>
      <c r="B256" s="472">
        <f>B$28</f>
        <v>27</v>
      </c>
      <c r="C256" s="300" t="s">
        <v>392</v>
      </c>
    </row>
    <row r="257" spans="1:3">
      <c r="A257" s="488" t="s">
        <v>477</v>
      </c>
      <c r="B257" s="472">
        <f>B$29</f>
        <v>35</v>
      </c>
      <c r="C257" s="300" t="s">
        <v>392</v>
      </c>
    </row>
    <row r="258" spans="1:3">
      <c r="A258" s="488" t="s">
        <v>476</v>
      </c>
      <c r="B258" s="362">
        <f>6*B$34+B$35</f>
        <v>56</v>
      </c>
      <c r="C258" s="300" t="s">
        <v>398</v>
      </c>
    </row>
    <row r="259" spans="1:3">
      <c r="A259" s="467" t="s">
        <v>405</v>
      </c>
      <c r="B259" s="476">
        <f>B258*B254+B255+B256+B257</f>
        <v>151.83199999999999</v>
      </c>
      <c r="C259" s="475" t="s">
        <v>392</v>
      </c>
    </row>
  </sheetData>
  <phoneticPr fontId="9" type="noConversion"/>
  <pageMargins left="0.75" right="0.75" top="1" bottom="1" header="0.5" footer="0.5"/>
  <pageSetup scale="50" fitToHeight="5" orientation="portrait" r:id="rId1"/>
  <headerFooter alignWithMargins="0"/>
  <rowBreaks count="3" manualBreakCount="3">
    <brk id="64" max="16383" man="1"/>
    <brk id="134" max="16383" man="1"/>
    <brk id="194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J259"/>
  <sheetViews>
    <sheetView zoomScaleNormal="100" workbookViewId="0">
      <selection activeCell="K15" sqref="K15"/>
    </sheetView>
  </sheetViews>
  <sheetFormatPr defaultRowHeight="12.75"/>
  <cols>
    <col min="1" max="1" width="31.28515625" customWidth="1"/>
    <col min="2" max="2" width="11.140625" customWidth="1"/>
    <col min="3" max="3" width="10.28515625" customWidth="1"/>
  </cols>
  <sheetData>
    <row r="1" spans="1:10" ht="20.25">
      <c r="A1" s="440" t="s">
        <v>363</v>
      </c>
    </row>
    <row r="2" spans="1:10" ht="12.75" customHeight="1">
      <c r="A2" s="440"/>
    </row>
    <row r="3" spans="1:10" ht="12.75" customHeight="1">
      <c r="A3" s="440"/>
    </row>
    <row r="4" spans="1:10" ht="12.75" customHeight="1" thickBot="1">
      <c r="A4" s="64" t="s">
        <v>406</v>
      </c>
    </row>
    <row r="5" spans="1:10" ht="12.75" customHeight="1" thickBot="1">
      <c r="A5" s="484" t="s">
        <v>233</v>
      </c>
      <c r="B5" s="485" t="s">
        <v>489</v>
      </c>
      <c r="C5" s="485" t="s">
        <v>490</v>
      </c>
      <c r="F5" t="s">
        <v>514</v>
      </c>
      <c r="G5" t="s">
        <v>497</v>
      </c>
      <c r="H5" t="s">
        <v>498</v>
      </c>
      <c r="I5" t="s">
        <v>348</v>
      </c>
    </row>
    <row r="6" spans="1:10" ht="12.75" customHeight="1">
      <c r="A6" s="482" t="str">
        <f>A41</f>
        <v>IDPU to Bulkhead A (AXB) Power</v>
      </c>
      <c r="B6" s="483">
        <f>B47</f>
        <v>685.25049600000011</v>
      </c>
      <c r="C6" s="483">
        <f>C47</f>
        <v>685.25049600000011</v>
      </c>
      <c r="F6" t="s">
        <v>511</v>
      </c>
    </row>
    <row r="7" spans="1:10" ht="12.75" customHeight="1">
      <c r="A7" s="479" t="str">
        <f>A49</f>
        <v>IDPU to Bulkhead A (AXB) Signal</v>
      </c>
      <c r="B7" s="480">
        <f>B55</f>
        <v>332.74545000000006</v>
      </c>
      <c r="C7" s="480">
        <f>C55</f>
        <v>332.74545000000006</v>
      </c>
      <c r="F7" t="s">
        <v>512</v>
      </c>
    </row>
    <row r="8" spans="1:10" ht="12.75" customHeight="1">
      <c r="A8" s="479" t="str">
        <f>A73</f>
        <v>Bulkhead A to Bulkhead B,C Power</v>
      </c>
      <c r="B8" s="480">
        <f>B82</f>
        <v>461.09952000000004</v>
      </c>
      <c r="C8" s="480">
        <f>C82</f>
        <v>364.40283200000005</v>
      </c>
      <c r="F8" t="s">
        <v>482</v>
      </c>
    </row>
    <row r="9" spans="1:10" ht="12.75" customHeight="1">
      <c r="A9" s="479" t="str">
        <f>A89</f>
        <v>Bulkhead A to Bulkhead B,C Signal</v>
      </c>
      <c r="B9" s="480">
        <f>B98</f>
        <v>201.81072500000002</v>
      </c>
      <c r="C9" s="480">
        <f>C98</f>
        <v>203.99097500000002</v>
      </c>
      <c r="F9" t="s">
        <v>400</v>
      </c>
    </row>
    <row r="10" spans="1:10" ht="12.75" customHeight="1">
      <c r="A10" s="479" t="str">
        <f>A139</f>
        <v>Bulkhead B to AXB5 JA,JD Power</v>
      </c>
      <c r="B10" s="480">
        <f>B149</f>
        <v>162.648888</v>
      </c>
      <c r="C10" s="480">
        <f>C149</f>
        <v>162.648888</v>
      </c>
      <c r="F10" t="s">
        <v>302</v>
      </c>
      <c r="G10" s="320">
        <f>B43+B51+B75+B77+B91+B93+B141+B143+B158+B171+B173+B188+B201+B203+B205+B207+B215+B217+B219+B221+B245+B254</f>
        <v>46.7667</v>
      </c>
      <c r="H10" s="320">
        <f>C43+C51+C75+C77+C91+C93+C141+C143+C158+B171+B173+B188+B201+B203+B205+B207+B215+B217+B219+B221+B245+B254</f>
        <v>45.561999999999998</v>
      </c>
      <c r="J10" t="s">
        <v>7</v>
      </c>
    </row>
    <row r="11" spans="1:10" ht="12.75" customHeight="1">
      <c r="A11" s="479" t="str">
        <f>A156</f>
        <v>Bulkhead B to AXB5 JB Signal</v>
      </c>
      <c r="B11" s="480">
        <f>B162</f>
        <v>75.205799999999996</v>
      </c>
      <c r="C11" s="480">
        <f>C162</f>
        <v>75.205799999999996</v>
      </c>
    </row>
    <row r="12" spans="1:10" ht="12.75" customHeight="1">
      <c r="A12" s="479" t="str">
        <f>A169</f>
        <v>Bulkhead C to AXB6 JA,JD Power</v>
      </c>
      <c r="B12" s="480">
        <f>B179</f>
        <v>168.37887600000002</v>
      </c>
      <c r="C12" s="480">
        <f t="shared" ref="C12:C17" si="0">B12</f>
        <v>168.37887600000002</v>
      </c>
    </row>
    <row r="13" spans="1:10" ht="12.75" customHeight="1">
      <c r="A13" s="479" t="str">
        <f>A186</f>
        <v>Bulkhead C to AXB5 JB Signal</v>
      </c>
      <c r="B13" s="480">
        <f>B192</f>
        <v>68.978700000000003</v>
      </c>
      <c r="C13" s="480">
        <f t="shared" si="0"/>
        <v>68.978700000000003</v>
      </c>
    </row>
    <row r="14" spans="1:10" ht="12.75" customHeight="1">
      <c r="A14" s="479" t="str">
        <f>A199</f>
        <v>IDPU to SPB Power</v>
      </c>
      <c r="B14" s="480">
        <f>B210</f>
        <v>563.61146400000007</v>
      </c>
      <c r="C14" s="480">
        <f t="shared" si="0"/>
        <v>563.61146400000007</v>
      </c>
    </row>
    <row r="15" spans="1:10" ht="12.75" customHeight="1">
      <c r="A15" s="479" t="str">
        <f>A213</f>
        <v>IDPU to SPB Signal</v>
      </c>
      <c r="B15" s="480">
        <f>B225</f>
        <v>694.5127</v>
      </c>
      <c r="C15" s="480">
        <f t="shared" si="0"/>
        <v>694.5127</v>
      </c>
    </row>
    <row r="16" spans="1:10" ht="12.75" customHeight="1">
      <c r="A16" s="479" t="str">
        <f>A243</f>
        <v>IDPU to MEB, E-Fields</v>
      </c>
      <c r="B16" s="480">
        <f>B248</f>
        <v>62.904000000000003</v>
      </c>
      <c r="C16" s="480">
        <f t="shared" si="0"/>
        <v>62.904000000000003</v>
      </c>
    </row>
    <row r="17" spans="1:9" ht="12.75" customHeight="1" thickBot="1">
      <c r="A17" s="481" t="str">
        <f>A252</f>
        <v>IDPU to MEB, MAG+SCM</v>
      </c>
      <c r="B17" s="489">
        <f>B259</f>
        <v>151.83199999999999</v>
      </c>
      <c r="C17" s="489">
        <f t="shared" si="0"/>
        <v>151.83199999999999</v>
      </c>
    </row>
    <row r="18" spans="1:9" ht="14.25" customHeight="1" thickBot="1">
      <c r="A18" s="490" t="s">
        <v>348</v>
      </c>
      <c r="B18" s="491">
        <f>SUM(B6:B17)</f>
        <v>3628.9786190000004</v>
      </c>
      <c r="C18" s="491">
        <f>SUM(C6:C17)</f>
        <v>3534.4621809999999</v>
      </c>
    </row>
    <row r="19" spans="1:9" ht="14.25" customHeight="1">
      <c r="A19" s="440"/>
    </row>
    <row r="20" spans="1:9" ht="14.25" customHeight="1">
      <c r="A20" s="440"/>
      <c r="B20" s="320"/>
    </row>
    <row r="21" spans="1:9" ht="14.25" customHeight="1">
      <c r="A21" s="440"/>
    </row>
    <row r="22" spans="1:9" ht="14.25" customHeight="1">
      <c r="A22" s="440"/>
    </row>
    <row r="23" spans="1:9" ht="14.25" customHeight="1">
      <c r="A23" s="440"/>
    </row>
    <row r="24" spans="1:9" ht="14.25" customHeight="1">
      <c r="A24" s="440"/>
    </row>
    <row r="25" spans="1:9" ht="14.25" customHeight="1">
      <c r="A25" s="440"/>
    </row>
    <row r="26" spans="1:9" ht="12.75" customHeight="1">
      <c r="A26" s="64" t="s">
        <v>466</v>
      </c>
    </row>
    <row r="27" spans="1:9">
      <c r="A27" s="486" t="s">
        <v>401</v>
      </c>
      <c r="B27" s="487" t="s">
        <v>396</v>
      </c>
    </row>
    <row r="28" spans="1:9">
      <c r="A28" t="s">
        <v>393</v>
      </c>
      <c r="B28" s="466">
        <f>20+6+1</f>
        <v>27</v>
      </c>
      <c r="C28" t="s">
        <v>402</v>
      </c>
      <c r="I28" t="s">
        <v>495</v>
      </c>
    </row>
    <row r="29" spans="1:9">
      <c r="A29" s="2" t="s">
        <v>394</v>
      </c>
      <c r="B29">
        <f>23+9+3</f>
        <v>35</v>
      </c>
    </row>
    <row r="30" spans="1:9">
      <c r="A30" s="2" t="s">
        <v>395</v>
      </c>
      <c r="B30">
        <f>46+12+6</f>
        <v>64</v>
      </c>
    </row>
    <row r="31" spans="1:9">
      <c r="A31" s="2" t="s">
        <v>397</v>
      </c>
      <c r="B31" s="320">
        <v>2.85</v>
      </c>
    </row>
    <row r="32" spans="1:9">
      <c r="A32" t="s">
        <v>399</v>
      </c>
      <c r="B32" s="320">
        <v>3.9</v>
      </c>
    </row>
    <row r="33" spans="1:6">
      <c r="A33" t="s">
        <v>482</v>
      </c>
      <c r="B33" s="320">
        <f>2*B$32*B$39</f>
        <v>8.58</v>
      </c>
    </row>
    <row r="34" spans="1:6">
      <c r="A34" t="s">
        <v>513</v>
      </c>
      <c r="B34" s="320">
        <v>8</v>
      </c>
      <c r="C34" t="s">
        <v>515</v>
      </c>
    </row>
    <row r="35" spans="1:6">
      <c r="A35" t="s">
        <v>302</v>
      </c>
      <c r="B35" s="320">
        <v>8</v>
      </c>
      <c r="C35" t="s">
        <v>403</v>
      </c>
    </row>
    <row r="38" spans="1:6">
      <c r="A38" t="s">
        <v>434</v>
      </c>
      <c r="B38" s="320">
        <v>1.1000000000000001</v>
      </c>
    </row>
    <row r="39" spans="1:6">
      <c r="A39" t="s">
        <v>481</v>
      </c>
      <c r="B39" s="320">
        <v>1.1000000000000001</v>
      </c>
    </row>
    <row r="41" spans="1:6" s="469" customFormat="1" ht="15.75" customHeight="1">
      <c r="A41" s="470" t="s">
        <v>407</v>
      </c>
      <c r="B41" s="471" t="s">
        <v>488</v>
      </c>
      <c r="C41" s="471" t="s">
        <v>491</v>
      </c>
      <c r="D41" s="470"/>
      <c r="E41" s="470"/>
      <c r="F41" s="470"/>
    </row>
    <row r="42" spans="1:6">
      <c r="A42" s="477" t="s">
        <v>347</v>
      </c>
      <c r="B42" s="472">
        <v>3.4870000000000001</v>
      </c>
      <c r="C42" s="362">
        <f>B42</f>
        <v>3.4870000000000001</v>
      </c>
      <c r="D42" s="472" t="s">
        <v>7</v>
      </c>
      <c r="E42" s="473"/>
      <c r="F42" s="473"/>
    </row>
    <row r="43" spans="1:6">
      <c r="A43" s="477" t="s">
        <v>404</v>
      </c>
      <c r="B43" s="472">
        <f>B42*$B$38</f>
        <v>3.8357000000000006</v>
      </c>
      <c r="C43" s="472">
        <f>C42*$B$38</f>
        <v>3.8357000000000006</v>
      </c>
      <c r="D43" s="474" t="s">
        <v>7</v>
      </c>
      <c r="E43" s="473"/>
      <c r="F43" s="473"/>
    </row>
    <row r="44" spans="1:6">
      <c r="A44" s="477" t="s">
        <v>409</v>
      </c>
      <c r="B44" s="473">
        <f>$B$30</f>
        <v>64</v>
      </c>
      <c r="C44" s="473">
        <f>$B$30</f>
        <v>64</v>
      </c>
      <c r="D44" s="474" t="s">
        <v>392</v>
      </c>
      <c r="E44" s="437" t="s">
        <v>410</v>
      </c>
      <c r="F44" s="473"/>
    </row>
    <row r="45" spans="1:6">
      <c r="A45" s="477" t="s">
        <v>414</v>
      </c>
      <c r="B45" s="473">
        <f>$B$30</f>
        <v>64</v>
      </c>
      <c r="C45" s="473">
        <f>$B$30</f>
        <v>64</v>
      </c>
      <c r="D45" s="474" t="s">
        <v>392</v>
      </c>
      <c r="E45" s="473"/>
      <c r="F45" s="473"/>
    </row>
    <row r="46" spans="1:6">
      <c r="A46" s="477" t="s">
        <v>421</v>
      </c>
      <c r="B46" s="473">
        <f>2*8*$B$33+$B$35</f>
        <v>145.28</v>
      </c>
      <c r="C46" s="473">
        <f>2*8*$B$33+$B$35</f>
        <v>145.28</v>
      </c>
      <c r="D46" s="474" t="s">
        <v>398</v>
      </c>
      <c r="E46" s="473"/>
      <c r="F46" s="473"/>
    </row>
    <row r="47" spans="1:6">
      <c r="A47" s="467" t="s">
        <v>405</v>
      </c>
      <c r="B47" s="476">
        <f>B46*B43+B44+B45</f>
        <v>685.25049600000011</v>
      </c>
      <c r="C47" s="476">
        <f>C46*C43+C44+C45</f>
        <v>685.25049600000011</v>
      </c>
      <c r="D47" s="475" t="s">
        <v>392</v>
      </c>
      <c r="E47" s="473"/>
      <c r="F47" s="473"/>
    </row>
    <row r="48" spans="1:6">
      <c r="A48" s="147"/>
      <c r="B48" s="473"/>
      <c r="C48" s="474"/>
      <c r="D48" s="473"/>
      <c r="E48" s="474"/>
      <c r="F48" s="473"/>
    </row>
    <row r="49" spans="1:6" ht="25.5">
      <c r="A49" s="470" t="s">
        <v>408</v>
      </c>
      <c r="B49" s="470"/>
      <c r="C49" s="471"/>
      <c r="D49" s="467"/>
      <c r="E49" s="475"/>
      <c r="F49" s="475"/>
    </row>
    <row r="50" spans="1:6">
      <c r="A50" s="477" t="s">
        <v>347</v>
      </c>
      <c r="B50" s="472">
        <f>B42</f>
        <v>3.4870000000000001</v>
      </c>
      <c r="C50" s="472">
        <f>C42</f>
        <v>3.4870000000000001</v>
      </c>
      <c r="D50" s="472" t="s">
        <v>7</v>
      </c>
    </row>
    <row r="51" spans="1:6">
      <c r="A51" s="477" t="s">
        <v>404</v>
      </c>
      <c r="B51" s="472">
        <f>B50*$B$38</f>
        <v>3.8357000000000006</v>
      </c>
      <c r="C51" s="472">
        <f>C50*$B$38</f>
        <v>3.8357000000000006</v>
      </c>
      <c r="D51" s="474" t="s">
        <v>7</v>
      </c>
    </row>
    <row r="52" spans="1:6">
      <c r="A52" s="477" t="s">
        <v>411</v>
      </c>
      <c r="B52" s="473">
        <f>$B$29</f>
        <v>35</v>
      </c>
      <c r="C52" s="473">
        <f>$B$29</f>
        <v>35</v>
      </c>
      <c r="D52" s="474" t="s">
        <v>392</v>
      </c>
      <c r="E52" t="s">
        <v>412</v>
      </c>
    </row>
    <row r="53" spans="1:6">
      <c r="A53" s="477" t="s">
        <v>413</v>
      </c>
      <c r="B53" s="473">
        <f>$B$29</f>
        <v>35</v>
      </c>
      <c r="C53" s="473">
        <f>$B$29</f>
        <v>35</v>
      </c>
      <c r="D53" s="474" t="s">
        <v>392</v>
      </c>
    </row>
    <row r="54" spans="1:6">
      <c r="A54" s="477" t="s">
        <v>428</v>
      </c>
      <c r="B54" s="473">
        <f>2*(2*$B$34+5*$B$31)+$B$35</f>
        <v>68.5</v>
      </c>
      <c r="C54" s="473">
        <f>2*(2*$B$34+5*$B$31)+$B$35</f>
        <v>68.5</v>
      </c>
      <c r="D54" s="474" t="s">
        <v>398</v>
      </c>
    </row>
    <row r="55" spans="1:6">
      <c r="A55" s="467" t="s">
        <v>405</v>
      </c>
      <c r="B55" s="476">
        <f>B54*B51+B52+B53</f>
        <v>332.74545000000006</v>
      </c>
      <c r="C55" s="476">
        <f>C54*C51+C52+C53</f>
        <v>332.74545000000006</v>
      </c>
      <c r="D55" s="475" t="s">
        <v>392</v>
      </c>
    </row>
    <row r="56" spans="1:6">
      <c r="A56" s="467"/>
      <c r="B56" s="468"/>
    </row>
    <row r="68" spans="1:9" ht="18">
      <c r="H68" s="493"/>
    </row>
    <row r="69" spans="1:9" ht="15">
      <c r="A69" s="478"/>
      <c r="B69" s="147"/>
      <c r="C69" s="147"/>
      <c r="D69" s="147"/>
      <c r="E69" s="147"/>
      <c r="H69" s="494"/>
      <c r="I69" s="494"/>
    </row>
    <row r="70" spans="1:9">
      <c r="A70" s="473"/>
      <c r="B70" s="147"/>
      <c r="C70" s="473"/>
      <c r="D70" s="473"/>
      <c r="E70" s="147"/>
    </row>
    <row r="71" spans="1:9">
      <c r="A71" s="473"/>
      <c r="B71" s="473"/>
      <c r="C71" s="473"/>
      <c r="D71" s="472"/>
      <c r="E71" s="147"/>
    </row>
    <row r="72" spans="1:9">
      <c r="A72" s="473"/>
      <c r="B72" s="473"/>
      <c r="C72" s="473"/>
      <c r="D72" s="147"/>
      <c r="E72" s="147"/>
    </row>
    <row r="73" spans="1:9" ht="25.5">
      <c r="A73" s="470" t="s">
        <v>415</v>
      </c>
      <c r="B73" s="471" t="s">
        <v>488</v>
      </c>
      <c r="C73" s="471" t="s">
        <v>491</v>
      </c>
      <c r="D73" s="467"/>
      <c r="E73" s="147"/>
    </row>
    <row r="74" spans="1:9">
      <c r="A74" s="477" t="s">
        <v>417</v>
      </c>
      <c r="B74" s="472">
        <v>2.0430000000000001</v>
      </c>
      <c r="C74" s="472">
        <v>1.048</v>
      </c>
      <c r="D74" s="472" t="s">
        <v>7</v>
      </c>
      <c r="E74" s="147"/>
    </row>
    <row r="75" spans="1:9">
      <c r="A75" s="477" t="s">
        <v>418</v>
      </c>
      <c r="B75" s="472">
        <f>B74*$B$38</f>
        <v>2.2473000000000005</v>
      </c>
      <c r="C75" s="472">
        <f>C74*$B$38</f>
        <v>1.1528</v>
      </c>
      <c r="D75" s="474" t="s">
        <v>7</v>
      </c>
      <c r="E75" s="147"/>
    </row>
    <row r="76" spans="1:9">
      <c r="A76" s="477" t="s">
        <v>419</v>
      </c>
      <c r="B76" s="472">
        <v>1.837</v>
      </c>
      <c r="C76" s="472">
        <v>1.6850000000000001</v>
      </c>
      <c r="D76" s="474" t="s">
        <v>7</v>
      </c>
      <c r="E76" s="147"/>
    </row>
    <row r="77" spans="1:9">
      <c r="A77" s="477" t="s">
        <v>420</v>
      </c>
      <c r="B77" s="472">
        <f>B76*$B$38</f>
        <v>2.0207000000000002</v>
      </c>
      <c r="C77" s="472">
        <f>C76*$B$38</f>
        <v>1.8535000000000001</v>
      </c>
      <c r="D77" s="474" t="s">
        <v>7</v>
      </c>
      <c r="E77" s="147"/>
    </row>
    <row r="78" spans="1:9">
      <c r="A78" s="477" t="s">
        <v>414</v>
      </c>
      <c r="B78" s="473">
        <f>$B$30</f>
        <v>64</v>
      </c>
      <c r="C78" s="473">
        <f>$B$30</f>
        <v>64</v>
      </c>
      <c r="D78" s="474" t="s">
        <v>392</v>
      </c>
      <c r="E78" s="147"/>
    </row>
    <row r="79" spans="1:9">
      <c r="A79" s="477" t="s">
        <v>416</v>
      </c>
      <c r="B79" s="473">
        <f>$B$29</f>
        <v>35</v>
      </c>
      <c r="C79" s="473">
        <f>$B$29</f>
        <v>35</v>
      </c>
      <c r="D79" s="474" t="s">
        <v>392</v>
      </c>
      <c r="E79" s="147"/>
    </row>
    <row r="80" spans="1:9">
      <c r="A80" s="477" t="s">
        <v>424</v>
      </c>
      <c r="B80" s="473">
        <f>$B$29</f>
        <v>35</v>
      </c>
      <c r="C80" s="473">
        <f>$B$29</f>
        <v>35</v>
      </c>
      <c r="D80" s="474" t="s">
        <v>392</v>
      </c>
      <c r="E80" s="147"/>
    </row>
    <row r="81" spans="1:5">
      <c r="A81" s="477" t="s">
        <v>423</v>
      </c>
      <c r="B81" s="473">
        <f>8*$B$33+$B$35</f>
        <v>76.64</v>
      </c>
      <c r="C81" s="473">
        <f>8*$B$33+$B$35</f>
        <v>76.64</v>
      </c>
      <c r="D81" s="474" t="s">
        <v>398</v>
      </c>
      <c r="E81" s="147"/>
    </row>
    <row r="82" spans="1:5">
      <c r="A82" s="467" t="s">
        <v>405</v>
      </c>
      <c r="B82" s="476">
        <f>B81*(B75+B77)+B78+B79+B80</f>
        <v>461.09952000000004</v>
      </c>
      <c r="C82" s="476">
        <f>C81*(C75+C77)+C78+C79+C80</f>
        <v>364.40283200000005</v>
      </c>
      <c r="D82" s="475" t="s">
        <v>392</v>
      </c>
      <c r="E82" s="147"/>
    </row>
    <row r="83" spans="1:5">
      <c r="A83" s="473"/>
      <c r="B83" s="473"/>
      <c r="C83" s="473"/>
      <c r="D83" s="472"/>
      <c r="E83" s="147"/>
    </row>
    <row r="84" spans="1:5">
      <c r="A84" s="473"/>
      <c r="B84" s="473"/>
      <c r="C84" s="473"/>
      <c r="D84" s="147"/>
      <c r="E84" s="147"/>
    </row>
    <row r="85" spans="1:5">
      <c r="A85" s="473"/>
      <c r="B85" s="473"/>
      <c r="C85" s="473"/>
      <c r="D85" s="472"/>
      <c r="E85" s="147"/>
    </row>
    <row r="86" spans="1:5">
      <c r="A86" s="473"/>
      <c r="B86" s="473"/>
      <c r="C86" s="473"/>
      <c r="D86" s="147"/>
      <c r="E86" s="147"/>
    </row>
    <row r="87" spans="1:5">
      <c r="A87" s="147"/>
      <c r="B87" s="147"/>
      <c r="C87" s="147"/>
      <c r="D87" s="472"/>
      <c r="E87" s="147"/>
    </row>
    <row r="88" spans="1:5">
      <c r="A88" s="147"/>
      <c r="B88" s="147"/>
      <c r="C88" s="147"/>
      <c r="D88" s="473"/>
      <c r="E88" s="147"/>
    </row>
    <row r="89" spans="1:5" ht="25.5">
      <c r="A89" s="470" t="s">
        <v>425</v>
      </c>
      <c r="B89" s="471" t="s">
        <v>488</v>
      </c>
      <c r="C89" s="471" t="s">
        <v>491</v>
      </c>
    </row>
    <row r="90" spans="1:5">
      <c r="A90" s="477" t="s">
        <v>417</v>
      </c>
      <c r="B90" s="472">
        <f>B74</f>
        <v>2.0430000000000001</v>
      </c>
      <c r="C90" s="472">
        <f>C74</f>
        <v>1.048</v>
      </c>
      <c r="D90" s="472" t="s">
        <v>7</v>
      </c>
    </row>
    <row r="91" spans="1:5">
      <c r="A91" s="477" t="s">
        <v>418</v>
      </c>
      <c r="B91" s="472">
        <f>B90*$B$38</f>
        <v>2.2473000000000005</v>
      </c>
      <c r="C91" s="472">
        <f>C90*$B$38</f>
        <v>1.1528</v>
      </c>
      <c r="D91" s="474" t="s">
        <v>7</v>
      </c>
    </row>
    <row r="92" spans="1:5">
      <c r="A92" s="477" t="s">
        <v>419</v>
      </c>
      <c r="B92" s="472">
        <f>B76</f>
        <v>1.837</v>
      </c>
      <c r="C92" s="472">
        <f>C76</f>
        <v>1.6850000000000001</v>
      </c>
      <c r="D92" s="474" t="s">
        <v>7</v>
      </c>
    </row>
    <row r="93" spans="1:5">
      <c r="A93" s="477" t="s">
        <v>420</v>
      </c>
      <c r="B93" s="472">
        <v>0.70199999999999996</v>
      </c>
      <c r="C93" s="472">
        <f>C92*$B$38</f>
        <v>1.8535000000000001</v>
      </c>
      <c r="D93" s="474" t="s">
        <v>7</v>
      </c>
    </row>
    <row r="94" spans="1:5">
      <c r="A94" s="477" t="s">
        <v>413</v>
      </c>
      <c r="B94" s="473">
        <f>$B$29</f>
        <v>35</v>
      </c>
      <c r="C94" s="473">
        <f>$B$29</f>
        <v>35</v>
      </c>
      <c r="D94" s="474" t="s">
        <v>392</v>
      </c>
    </row>
    <row r="95" spans="1:5">
      <c r="A95" s="477" t="s">
        <v>426</v>
      </c>
      <c r="B95" s="473">
        <f>$B$28</f>
        <v>27</v>
      </c>
      <c r="C95" s="473">
        <f>$B$28</f>
        <v>27</v>
      </c>
      <c r="D95" s="474" t="s">
        <v>392</v>
      </c>
    </row>
    <row r="96" spans="1:5">
      <c r="A96" s="477" t="s">
        <v>427</v>
      </c>
      <c r="B96" s="473">
        <f>$B$28</f>
        <v>27</v>
      </c>
      <c r="C96" s="473">
        <f>$B$28</f>
        <v>27</v>
      </c>
      <c r="D96" s="474" t="s">
        <v>392</v>
      </c>
    </row>
    <row r="97" spans="1:4">
      <c r="A97" s="477" t="s">
        <v>422</v>
      </c>
      <c r="B97" s="473">
        <f>(2*$B$34+5*$B$31)+$B$35</f>
        <v>38.25</v>
      </c>
      <c r="C97" s="473">
        <f>(2*$B$34+5*$B$31)+$B$35</f>
        <v>38.25</v>
      </c>
      <c r="D97" s="474" t="s">
        <v>398</v>
      </c>
    </row>
    <row r="98" spans="1:4">
      <c r="A98" s="467" t="s">
        <v>405</v>
      </c>
      <c r="B98" s="476">
        <f>B97*(B91+B93)+B94+B95+B96</f>
        <v>201.81072500000002</v>
      </c>
      <c r="C98" s="476">
        <f>C97*(C91+C93)+C94+C95+C96</f>
        <v>203.99097500000002</v>
      </c>
      <c r="D98" s="475" t="s">
        <v>392</v>
      </c>
    </row>
    <row r="139" spans="1:4" ht="25.5">
      <c r="A139" s="470" t="s">
        <v>429</v>
      </c>
      <c r="B139" s="471" t="s">
        <v>488</v>
      </c>
      <c r="C139" s="471" t="s">
        <v>491</v>
      </c>
    </row>
    <row r="140" spans="1:4">
      <c r="A140" s="477" t="s">
        <v>431</v>
      </c>
      <c r="B140" s="472">
        <v>0.35099999999999998</v>
      </c>
      <c r="C140" s="472">
        <f>B140</f>
        <v>0.35099999999999998</v>
      </c>
      <c r="D140" s="472" t="s">
        <v>7</v>
      </c>
    </row>
    <row r="141" spans="1:4">
      <c r="A141" s="477" t="s">
        <v>432</v>
      </c>
      <c r="B141" s="472">
        <f>B140*$B$38</f>
        <v>0.3861</v>
      </c>
      <c r="C141" s="472">
        <f>C140*$B$38</f>
        <v>0.3861</v>
      </c>
      <c r="D141" s="474" t="s">
        <v>7</v>
      </c>
    </row>
    <row r="142" spans="1:4">
      <c r="A142" s="477" t="s">
        <v>430</v>
      </c>
      <c r="B142" s="472">
        <v>0.378</v>
      </c>
      <c r="C142" s="472">
        <f>B142</f>
        <v>0.378</v>
      </c>
      <c r="D142" s="474" t="s">
        <v>7</v>
      </c>
    </row>
    <row r="143" spans="1:4">
      <c r="A143" s="477" t="s">
        <v>433</v>
      </c>
      <c r="B143" s="472">
        <f>B142*$B$38</f>
        <v>0.41580000000000006</v>
      </c>
      <c r="C143" s="472">
        <f>C142*$B$38</f>
        <v>0.41580000000000006</v>
      </c>
      <c r="D143" s="474" t="s">
        <v>7</v>
      </c>
    </row>
    <row r="144" spans="1:4">
      <c r="A144" s="477" t="s">
        <v>416</v>
      </c>
      <c r="B144" s="472">
        <f t="shared" ref="B144:C146" si="1">$B$29</f>
        <v>35</v>
      </c>
      <c r="C144" s="472">
        <f t="shared" si="1"/>
        <v>35</v>
      </c>
      <c r="D144" s="474" t="s">
        <v>392</v>
      </c>
    </row>
    <row r="145" spans="1:4">
      <c r="A145" s="477" t="s">
        <v>435</v>
      </c>
      <c r="B145" s="472">
        <f t="shared" si="1"/>
        <v>35</v>
      </c>
      <c r="C145" s="472">
        <f t="shared" si="1"/>
        <v>35</v>
      </c>
      <c r="D145" s="474" t="s">
        <v>392</v>
      </c>
    </row>
    <row r="146" spans="1:4">
      <c r="A146" s="477" t="s">
        <v>436</v>
      </c>
      <c r="B146" s="472">
        <f t="shared" si="1"/>
        <v>35</v>
      </c>
      <c r="C146" s="472">
        <f t="shared" si="1"/>
        <v>35</v>
      </c>
      <c r="D146" s="474" t="s">
        <v>392</v>
      </c>
    </row>
    <row r="147" spans="1:4">
      <c r="A147" s="477" t="s">
        <v>437</v>
      </c>
      <c r="B147" s="472">
        <f>8*$B$33+$B$35</f>
        <v>76.64</v>
      </c>
      <c r="C147" s="472">
        <f>8*$B$33+$B$35</f>
        <v>76.64</v>
      </c>
      <c r="D147" s="474" t="s">
        <v>398</v>
      </c>
    </row>
    <row r="148" spans="1:4">
      <c r="A148" s="477" t="s">
        <v>438</v>
      </c>
      <c r="B148" s="472">
        <f>6*$B$33+$B$34+$B$35</f>
        <v>67.48</v>
      </c>
      <c r="C148" s="472">
        <f>6*$B$33+$B$34+$B$35</f>
        <v>67.48</v>
      </c>
      <c r="D148" s="474" t="s">
        <v>398</v>
      </c>
    </row>
    <row r="149" spans="1:4">
      <c r="A149" s="467" t="s">
        <v>405</v>
      </c>
      <c r="B149" s="476">
        <f>B141*B147+B143*B148+B144+B145+B146</f>
        <v>162.648888</v>
      </c>
      <c r="C149" s="476">
        <f>C141*C147+C143*C148+C144+C145+C146</f>
        <v>162.648888</v>
      </c>
      <c r="D149" s="475" t="s">
        <v>392</v>
      </c>
    </row>
    <row r="150" spans="1:4">
      <c r="A150" s="473"/>
      <c r="B150" s="473"/>
      <c r="C150" s="473"/>
      <c r="D150" s="473"/>
    </row>
    <row r="151" spans="1:4">
      <c r="A151" s="473"/>
      <c r="B151" s="473"/>
      <c r="C151" s="473"/>
    </row>
    <row r="152" spans="1:4">
      <c r="A152" s="473"/>
      <c r="B152" s="473"/>
      <c r="C152" s="473"/>
    </row>
    <row r="153" spans="1:4">
      <c r="A153" s="473"/>
      <c r="B153" s="473"/>
      <c r="C153" s="473"/>
    </row>
    <row r="154" spans="1:4">
      <c r="A154" s="147"/>
      <c r="B154" s="147"/>
      <c r="C154" s="147"/>
    </row>
    <row r="155" spans="1:4">
      <c r="A155" s="147"/>
      <c r="B155" s="147"/>
      <c r="C155" s="147"/>
    </row>
    <row r="156" spans="1:4">
      <c r="A156" s="470" t="s">
        <v>439</v>
      </c>
      <c r="B156" s="471" t="s">
        <v>488</v>
      </c>
      <c r="C156" s="471" t="s">
        <v>491</v>
      </c>
    </row>
    <row r="157" spans="1:4">
      <c r="A157" s="477" t="s">
        <v>440</v>
      </c>
      <c r="B157" s="472">
        <v>0.504</v>
      </c>
      <c r="C157" s="472">
        <v>0.504</v>
      </c>
      <c r="D157" s="472" t="s">
        <v>7</v>
      </c>
    </row>
    <row r="158" spans="1:4">
      <c r="A158" s="477" t="s">
        <v>441</v>
      </c>
      <c r="B158" s="472">
        <f>B157*$B$38</f>
        <v>0.5544</v>
      </c>
      <c r="C158" s="472">
        <f>C157*$B$38</f>
        <v>0.5544</v>
      </c>
      <c r="D158" s="474" t="s">
        <v>7</v>
      </c>
    </row>
    <row r="159" spans="1:4">
      <c r="A159" s="477" t="s">
        <v>426</v>
      </c>
      <c r="B159" s="473">
        <f>$B$28</f>
        <v>27</v>
      </c>
      <c r="C159" s="473">
        <f>$B$28</f>
        <v>27</v>
      </c>
      <c r="D159" s="474" t="s">
        <v>392</v>
      </c>
    </row>
    <row r="160" spans="1:4">
      <c r="A160" s="477" t="s">
        <v>442</v>
      </c>
      <c r="B160" s="473">
        <f>$B$28</f>
        <v>27</v>
      </c>
      <c r="C160" s="473">
        <f>$B$28</f>
        <v>27</v>
      </c>
      <c r="D160" s="474" t="s">
        <v>392</v>
      </c>
    </row>
    <row r="161" spans="1:4">
      <c r="A161" s="477" t="s">
        <v>422</v>
      </c>
      <c r="B161" s="473">
        <f>(2*$B$34+5*$B$31)+$B$35</f>
        <v>38.25</v>
      </c>
      <c r="C161" s="473">
        <f>(2*$B$34+5*$B$31)+$B$35</f>
        <v>38.25</v>
      </c>
      <c r="D161" s="474" t="s">
        <v>398</v>
      </c>
    </row>
    <row r="162" spans="1:4">
      <c r="A162" s="467" t="s">
        <v>405</v>
      </c>
      <c r="B162" s="476">
        <f>B161*B158+B159+B160</f>
        <v>75.205799999999996</v>
      </c>
      <c r="C162" s="476">
        <f>C161*C158+C159+C160</f>
        <v>75.205799999999996</v>
      </c>
      <c r="D162" s="475" t="s">
        <v>392</v>
      </c>
    </row>
    <row r="169" spans="1:4" ht="25.5">
      <c r="A169" s="470" t="s">
        <v>443</v>
      </c>
      <c r="B169" s="59" t="s">
        <v>496</v>
      </c>
      <c r="C169" s="471"/>
    </row>
    <row r="170" spans="1:4">
      <c r="A170" s="477" t="s">
        <v>444</v>
      </c>
      <c r="B170" s="472">
        <v>0.40400000000000003</v>
      </c>
      <c r="C170" s="472" t="s">
        <v>7</v>
      </c>
    </row>
    <row r="171" spans="1:4">
      <c r="A171" s="477" t="s">
        <v>445</v>
      </c>
      <c r="B171" s="472">
        <f>B170*B$38</f>
        <v>0.44440000000000007</v>
      </c>
      <c r="C171" s="474" t="s">
        <v>7</v>
      </c>
    </row>
    <row r="172" spans="1:4">
      <c r="A172" s="477" t="s">
        <v>430</v>
      </c>
      <c r="B172" s="472">
        <v>0.39500000000000002</v>
      </c>
      <c r="C172" s="474" t="s">
        <v>7</v>
      </c>
    </row>
    <row r="173" spans="1:4">
      <c r="A173" s="477" t="s">
        <v>433</v>
      </c>
      <c r="B173" s="472">
        <f>B172*B$38</f>
        <v>0.43450000000000005</v>
      </c>
      <c r="C173" s="474" t="s">
        <v>7</v>
      </c>
    </row>
    <row r="174" spans="1:4">
      <c r="A174" s="477" t="s">
        <v>416</v>
      </c>
      <c r="B174" s="472">
        <f>B$29</f>
        <v>35</v>
      </c>
      <c r="C174" s="474" t="s">
        <v>392</v>
      </c>
    </row>
    <row r="175" spans="1:4">
      <c r="A175" s="477" t="s">
        <v>435</v>
      </c>
      <c r="B175" s="472">
        <f>B$29</f>
        <v>35</v>
      </c>
      <c r="C175" s="474" t="s">
        <v>392</v>
      </c>
    </row>
    <row r="176" spans="1:4">
      <c r="A176" s="477" t="s">
        <v>436</v>
      </c>
      <c r="B176" s="472">
        <f>B$29</f>
        <v>35</v>
      </c>
      <c r="C176" s="474" t="s">
        <v>392</v>
      </c>
    </row>
    <row r="177" spans="1:3">
      <c r="A177" s="477" t="s">
        <v>437</v>
      </c>
      <c r="B177" s="472">
        <f>8*B$33+B$35</f>
        <v>76.64</v>
      </c>
      <c r="C177" s="474" t="s">
        <v>398</v>
      </c>
    </row>
    <row r="178" spans="1:3">
      <c r="A178" s="477" t="s">
        <v>438</v>
      </c>
      <c r="B178" s="472">
        <f>6*B$33+B$34+B$35</f>
        <v>67.48</v>
      </c>
      <c r="C178" s="474" t="s">
        <v>398</v>
      </c>
    </row>
    <row r="179" spans="1:3">
      <c r="A179" s="467" t="s">
        <v>405</v>
      </c>
      <c r="B179" s="476">
        <f>B171*B177+B173*B178+B174+B175+B176</f>
        <v>168.37887600000002</v>
      </c>
      <c r="C179" s="475" t="s">
        <v>392</v>
      </c>
    </row>
    <row r="180" spans="1:3">
      <c r="A180" s="473"/>
      <c r="B180" s="473"/>
      <c r="C180" s="473"/>
    </row>
    <row r="181" spans="1:3">
      <c r="A181" s="473"/>
      <c r="B181" s="473"/>
      <c r="C181" s="473"/>
    </row>
    <row r="182" spans="1:3">
      <c r="A182" s="473"/>
      <c r="B182" s="473"/>
      <c r="C182" s="473"/>
    </row>
    <row r="183" spans="1:3">
      <c r="A183" s="473"/>
      <c r="B183" s="473"/>
      <c r="C183" s="473"/>
    </row>
    <row r="184" spans="1:3">
      <c r="A184" s="147"/>
      <c r="B184" s="147"/>
      <c r="C184" s="147"/>
    </row>
    <row r="185" spans="1:3">
      <c r="A185" s="147"/>
      <c r="B185" s="147"/>
      <c r="C185" s="147"/>
    </row>
    <row r="186" spans="1:3">
      <c r="A186" s="470" t="s">
        <v>448</v>
      </c>
      <c r="B186" s="59" t="s">
        <v>496</v>
      </c>
      <c r="C186" s="471"/>
    </row>
    <row r="187" spans="1:3">
      <c r="A187" s="477" t="s">
        <v>446</v>
      </c>
      <c r="B187" s="472">
        <v>0.35599999999999998</v>
      </c>
      <c r="C187" s="472" t="s">
        <v>7</v>
      </c>
    </row>
    <row r="188" spans="1:3">
      <c r="A188" s="477" t="s">
        <v>447</v>
      </c>
      <c r="B188" s="472">
        <f>B187*B$38</f>
        <v>0.3916</v>
      </c>
      <c r="C188" s="474" t="s">
        <v>7</v>
      </c>
    </row>
    <row r="189" spans="1:3">
      <c r="A189" s="477" t="s">
        <v>427</v>
      </c>
      <c r="B189" s="473">
        <f>B$28</f>
        <v>27</v>
      </c>
      <c r="C189" s="474" t="s">
        <v>392</v>
      </c>
    </row>
    <row r="190" spans="1:3">
      <c r="A190" s="477" t="s">
        <v>442</v>
      </c>
      <c r="B190" s="473">
        <f>B$28</f>
        <v>27</v>
      </c>
      <c r="C190" s="474" t="s">
        <v>392</v>
      </c>
    </row>
    <row r="191" spans="1:3">
      <c r="A191" s="477" t="s">
        <v>422</v>
      </c>
      <c r="B191" s="473">
        <f>(2*B$34+5*B$31)+B$35</f>
        <v>38.25</v>
      </c>
      <c r="C191" s="474" t="s">
        <v>398</v>
      </c>
    </row>
    <row r="192" spans="1:3">
      <c r="A192" s="467" t="s">
        <v>405</v>
      </c>
      <c r="B192" s="476">
        <f>B191*B188+B189+B190</f>
        <v>68.978700000000003</v>
      </c>
      <c r="C192" s="475" t="s">
        <v>392</v>
      </c>
    </row>
    <row r="199" spans="1:4">
      <c r="A199" s="64" t="s">
        <v>449</v>
      </c>
      <c r="B199" s="59" t="s">
        <v>496</v>
      </c>
    </row>
    <row r="200" spans="1:4">
      <c r="A200" s="488" t="s">
        <v>450</v>
      </c>
      <c r="B200" s="362">
        <v>2.9369999999999998</v>
      </c>
      <c r="C200" s="300" t="s">
        <v>7</v>
      </c>
    </row>
    <row r="201" spans="1:4">
      <c r="A201" s="488" t="s">
        <v>451</v>
      </c>
      <c r="B201" s="472">
        <f>B200*B$38</f>
        <v>3.2307000000000001</v>
      </c>
      <c r="C201" s="300" t="s">
        <v>7</v>
      </c>
    </row>
    <row r="202" spans="1:4">
      <c r="A202" s="488" t="s">
        <v>452</v>
      </c>
      <c r="B202" s="362">
        <v>3.206</v>
      </c>
      <c r="C202" s="300" t="s">
        <v>7</v>
      </c>
    </row>
    <row r="203" spans="1:4">
      <c r="A203" s="488" t="s">
        <v>453</v>
      </c>
      <c r="B203" s="472">
        <f>B202*B$38</f>
        <v>3.5266000000000002</v>
      </c>
      <c r="C203" s="300" t="s">
        <v>7</v>
      </c>
    </row>
    <row r="204" spans="1:4">
      <c r="A204" s="488" t="s">
        <v>454</v>
      </c>
      <c r="B204" s="362">
        <v>3.8279999999999998</v>
      </c>
      <c r="C204" s="300" t="s">
        <v>7</v>
      </c>
    </row>
    <row r="205" spans="1:4">
      <c r="A205" s="488" t="s">
        <v>455</v>
      </c>
      <c r="B205" s="472">
        <f>B204*B$38</f>
        <v>4.2107999999999999</v>
      </c>
      <c r="C205" s="300" t="s">
        <v>7</v>
      </c>
    </row>
    <row r="206" spans="1:4">
      <c r="A206" s="488" t="s">
        <v>456</v>
      </c>
      <c r="B206" s="362">
        <v>2.3050000000000002</v>
      </c>
      <c r="C206" s="300" t="s">
        <v>7</v>
      </c>
    </row>
    <row r="207" spans="1:4">
      <c r="A207" s="488" t="s">
        <v>457</v>
      </c>
      <c r="B207" s="472">
        <f>B206*B$38</f>
        <v>2.5355000000000003</v>
      </c>
      <c r="C207" s="300" t="s">
        <v>7</v>
      </c>
    </row>
    <row r="208" spans="1:4">
      <c r="A208" s="488" t="s">
        <v>462</v>
      </c>
      <c r="B208" s="472">
        <f>B$28</f>
        <v>27</v>
      </c>
      <c r="C208" s="300" t="s">
        <v>392</v>
      </c>
      <c r="D208" t="s">
        <v>459</v>
      </c>
    </row>
    <row r="209" spans="1:4">
      <c r="A209" s="488" t="s">
        <v>458</v>
      </c>
      <c r="B209" s="362">
        <f>3*B$33+B$35</f>
        <v>33.74</v>
      </c>
      <c r="C209" s="300" t="s">
        <v>398</v>
      </c>
    </row>
    <row r="210" spans="1:4">
      <c r="A210" s="467" t="s">
        <v>405</v>
      </c>
      <c r="B210" s="476">
        <f>B209*(B201+B203+B205+B207)+4*B208</f>
        <v>563.61146400000007</v>
      </c>
      <c r="C210" s="475" t="s">
        <v>392</v>
      </c>
    </row>
    <row r="211" spans="1:4">
      <c r="A211" s="488"/>
      <c r="B211" s="362"/>
      <c r="C211" s="300"/>
    </row>
    <row r="212" spans="1:4">
      <c r="B212" s="362"/>
      <c r="C212" s="300"/>
    </row>
    <row r="213" spans="1:4">
      <c r="A213" s="64" t="s">
        <v>460</v>
      </c>
      <c r="B213" s="59" t="s">
        <v>496</v>
      </c>
    </row>
    <row r="214" spans="1:4">
      <c r="A214" s="488" t="s">
        <v>450</v>
      </c>
      <c r="B214" s="362">
        <f>B200</f>
        <v>2.9369999999999998</v>
      </c>
      <c r="C214" s="300" t="s">
        <v>7</v>
      </c>
    </row>
    <row r="215" spans="1:4">
      <c r="A215" s="488" t="s">
        <v>451</v>
      </c>
      <c r="B215" s="472">
        <f>B214*B$38</f>
        <v>3.2307000000000001</v>
      </c>
      <c r="C215" s="300" t="s">
        <v>7</v>
      </c>
    </row>
    <row r="216" spans="1:4">
      <c r="A216" s="488" t="s">
        <v>452</v>
      </c>
      <c r="B216" s="362">
        <f>B202</f>
        <v>3.206</v>
      </c>
      <c r="C216" s="300" t="s">
        <v>7</v>
      </c>
    </row>
    <row r="217" spans="1:4">
      <c r="A217" s="488" t="s">
        <v>453</v>
      </c>
      <c r="B217" s="472">
        <f>B216*B$38</f>
        <v>3.5266000000000002</v>
      </c>
      <c r="C217" s="300" t="s">
        <v>7</v>
      </c>
    </row>
    <row r="218" spans="1:4">
      <c r="A218" s="488" t="s">
        <v>454</v>
      </c>
      <c r="B218" s="362">
        <f>B204</f>
        <v>3.8279999999999998</v>
      </c>
      <c r="C218" s="300" t="s">
        <v>7</v>
      </c>
    </row>
    <row r="219" spans="1:4">
      <c r="A219" s="488" t="s">
        <v>455</v>
      </c>
      <c r="B219" s="472">
        <f>B218*B$38</f>
        <v>4.2107999999999999</v>
      </c>
      <c r="C219" s="300" t="s">
        <v>7</v>
      </c>
    </row>
    <row r="220" spans="1:4">
      <c r="A220" s="488" t="s">
        <v>456</v>
      </c>
      <c r="B220" s="362">
        <f>B206</f>
        <v>2.3050000000000002</v>
      </c>
      <c r="C220" s="300" t="s">
        <v>7</v>
      </c>
    </row>
    <row r="221" spans="1:4">
      <c r="A221" s="488" t="s">
        <v>457</v>
      </c>
      <c r="B221" s="472">
        <f>B220*B$38</f>
        <v>2.5355000000000003</v>
      </c>
      <c r="C221" s="300" t="s">
        <v>7</v>
      </c>
    </row>
    <row r="222" spans="1:4">
      <c r="A222" s="488" t="s">
        <v>463</v>
      </c>
      <c r="B222" s="472">
        <f>B$28</f>
        <v>27</v>
      </c>
      <c r="C222" s="300" t="s">
        <v>392</v>
      </c>
    </row>
    <row r="223" spans="1:4">
      <c r="A223" s="488" t="s">
        <v>464</v>
      </c>
      <c r="B223" s="472">
        <f>B29</f>
        <v>35</v>
      </c>
      <c r="C223" s="300" t="s">
        <v>392</v>
      </c>
      <c r="D223" t="s">
        <v>465</v>
      </c>
    </row>
    <row r="224" spans="1:4">
      <c r="A224" s="488" t="s">
        <v>461</v>
      </c>
      <c r="B224" s="362">
        <f>2*B$34+5*B$31+B$35</f>
        <v>38.25</v>
      </c>
      <c r="C224" s="300" t="s">
        <v>398</v>
      </c>
    </row>
    <row r="225" spans="1:9">
      <c r="A225" s="467" t="s">
        <v>405</v>
      </c>
      <c r="B225" s="476">
        <f>B224*(B215+B217+B219+B221)+B222*4+B223*2</f>
        <v>694.5127</v>
      </c>
      <c r="C225" s="475" t="s">
        <v>392</v>
      </c>
    </row>
    <row r="240" spans="1:9">
      <c r="I240" t="s">
        <v>478</v>
      </c>
    </row>
    <row r="243" spans="1:4">
      <c r="A243" s="64" t="s">
        <v>469</v>
      </c>
      <c r="B243" s="59" t="s">
        <v>496</v>
      </c>
    </row>
    <row r="244" spans="1:4">
      <c r="A244" s="488" t="s">
        <v>467</v>
      </c>
      <c r="B244" s="362">
        <v>1.02</v>
      </c>
      <c r="C244" s="300" t="s">
        <v>7</v>
      </c>
    </row>
    <row r="245" spans="1:4">
      <c r="A245" s="488" t="s">
        <v>468</v>
      </c>
      <c r="B245" s="472">
        <f>B244*B$38</f>
        <v>1.1220000000000001</v>
      </c>
      <c r="C245" s="300" t="s">
        <v>7</v>
      </c>
    </row>
    <row r="246" spans="1:4">
      <c r="A246" s="488" t="s">
        <v>473</v>
      </c>
      <c r="B246" s="472">
        <f>B$28</f>
        <v>27</v>
      </c>
      <c r="C246" s="300" t="s">
        <v>392</v>
      </c>
      <c r="D246" t="s">
        <v>470</v>
      </c>
    </row>
    <row r="247" spans="1:4">
      <c r="A247" s="488" t="s">
        <v>471</v>
      </c>
      <c r="B247" s="362">
        <f>3*B$34+B$35</f>
        <v>32</v>
      </c>
      <c r="C247" s="300" t="s">
        <v>398</v>
      </c>
    </row>
    <row r="248" spans="1:4">
      <c r="A248" s="467" t="s">
        <v>405</v>
      </c>
      <c r="B248" s="476">
        <f>B247*B245+B246</f>
        <v>62.904000000000003</v>
      </c>
      <c r="C248" s="475" t="s">
        <v>392</v>
      </c>
    </row>
    <row r="252" spans="1:4">
      <c r="A252" s="64" t="s">
        <v>472</v>
      </c>
      <c r="B252" s="59" t="s">
        <v>496</v>
      </c>
    </row>
    <row r="253" spans="1:4">
      <c r="A253" s="488" t="s">
        <v>467</v>
      </c>
      <c r="B253" s="362">
        <f>B244</f>
        <v>1.02</v>
      </c>
      <c r="C253" s="300" t="s">
        <v>7</v>
      </c>
    </row>
    <row r="254" spans="1:4">
      <c r="A254" s="488" t="s">
        <v>468</v>
      </c>
      <c r="B254" s="472">
        <f>B253*B$38</f>
        <v>1.1220000000000001</v>
      </c>
      <c r="C254" s="300" t="s">
        <v>7</v>
      </c>
    </row>
    <row r="255" spans="1:4">
      <c r="A255" s="488" t="s">
        <v>474</v>
      </c>
      <c r="B255" s="472">
        <f>B$28</f>
        <v>27</v>
      </c>
      <c r="C255" s="300" t="s">
        <v>392</v>
      </c>
    </row>
    <row r="256" spans="1:4">
      <c r="A256" s="488" t="s">
        <v>475</v>
      </c>
      <c r="B256" s="472">
        <f>B$28</f>
        <v>27</v>
      </c>
      <c r="C256" s="300" t="s">
        <v>392</v>
      </c>
    </row>
    <row r="257" spans="1:3">
      <c r="A257" s="488" t="s">
        <v>477</v>
      </c>
      <c r="B257" s="472">
        <f>B$29</f>
        <v>35</v>
      </c>
      <c r="C257" s="300" t="s">
        <v>392</v>
      </c>
    </row>
    <row r="258" spans="1:3">
      <c r="A258" s="488" t="s">
        <v>476</v>
      </c>
      <c r="B258" s="362">
        <f>6*B$34+B$35</f>
        <v>56</v>
      </c>
      <c r="C258" s="300" t="s">
        <v>398</v>
      </c>
    </row>
    <row r="259" spans="1:3">
      <c r="A259" s="467" t="s">
        <v>405</v>
      </c>
      <c r="B259" s="476">
        <f>B258*B254+B255+B256+B257</f>
        <v>151.83199999999999</v>
      </c>
      <c r="C259" s="475" t="s">
        <v>392</v>
      </c>
    </row>
  </sheetData>
  <phoneticPr fontId="9" type="noConversion"/>
  <pageMargins left="0.75" right="0.75" top="1" bottom="1" header="0.5" footer="0.5"/>
  <pageSetup scale="50" fitToHeight="5" orientation="portrait" r:id="rId1"/>
  <headerFooter alignWithMargins="0"/>
  <rowBreaks count="3" manualBreakCount="3">
    <brk id="64" max="16383" man="1"/>
    <brk id="134" max="16383" man="1"/>
    <brk id="194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H44"/>
  <sheetViews>
    <sheetView workbookViewId="0"/>
  </sheetViews>
  <sheetFormatPr defaultRowHeight="12.75"/>
  <cols>
    <col min="1" max="1" width="27.42578125" customWidth="1"/>
    <col min="6" max="6" width="13.7109375" customWidth="1"/>
  </cols>
  <sheetData>
    <row r="1" spans="1:8" ht="45" customHeight="1">
      <c r="A1" s="561" t="str">
        <f ca="1">CELL("filename")</f>
        <v>C:\Documents and Settings\jbonnell\My Documents\LWS\RBSP\RBSP-EFW-Booms and Dynamics\[RBSP_EFW_SYS_003AG_Mass.xlsx]Cover</v>
      </c>
      <c r="B1" s="561"/>
      <c r="C1" s="561"/>
      <c r="D1" s="561"/>
      <c r="E1" s="561"/>
      <c r="F1" s="561"/>
      <c r="G1" s="561"/>
    </row>
    <row r="2" spans="1:8" ht="24.75" customHeight="1">
      <c r="A2" s="562" t="str">
        <f ca="1">RIGHT( $A$1,LEN($A$1) - FIND( "[",$A$1)+1)</f>
        <v>[RBSP_EFW_SYS_003AG_Mass.xlsx]Cover</v>
      </c>
      <c r="B2" s="563"/>
      <c r="C2" s="563"/>
      <c r="D2" s="563"/>
      <c r="E2" s="563"/>
      <c r="F2" s="563"/>
      <c r="G2" s="564"/>
    </row>
    <row r="3" spans="1:8" ht="51">
      <c r="A3" s="540" t="s">
        <v>576</v>
      </c>
      <c r="B3" s="541" t="s">
        <v>580</v>
      </c>
      <c r="C3" s="541" t="s">
        <v>579</v>
      </c>
      <c r="D3" s="541" t="s">
        <v>578</v>
      </c>
      <c r="E3" s="541" t="s">
        <v>581</v>
      </c>
      <c r="F3" s="541" t="s">
        <v>577</v>
      </c>
      <c r="G3" s="550" t="s">
        <v>584</v>
      </c>
    </row>
    <row r="4" spans="1:8">
      <c r="A4" s="302" t="str">
        <f>SPB!A23</f>
        <v>AB Deploy</v>
      </c>
      <c r="B4" s="542">
        <f>SPB!C23</f>
        <v>0</v>
      </c>
      <c r="C4" s="542">
        <f>SPB!D23</f>
        <v>0</v>
      </c>
      <c r="D4" s="543">
        <f>SPB!U23</f>
        <v>0.90487680975361962</v>
      </c>
      <c r="E4" s="543">
        <f>SPB!V23</f>
        <v>0.90487680975361962</v>
      </c>
      <c r="F4" s="542">
        <f>SPB!H23</f>
        <v>7</v>
      </c>
      <c r="G4" s="540">
        <v>15</v>
      </c>
    </row>
    <row r="5" spans="1:8">
      <c r="A5" s="302" t="str">
        <f>SPB!A26</f>
        <v>CD Deploy</v>
      </c>
      <c r="B5" s="542">
        <f>SPB!C26</f>
        <v>4</v>
      </c>
      <c r="C5" s="542">
        <f>SPB!D26</f>
        <v>1</v>
      </c>
      <c r="D5" s="543">
        <f>SPB!U26</f>
        <v>4.9048768097536195</v>
      </c>
      <c r="E5" s="543">
        <f>SPB!V26</f>
        <v>1.9048768097536195</v>
      </c>
      <c r="F5" s="542">
        <f>SPB!H26</f>
        <v>6.9154556323795502</v>
      </c>
      <c r="G5" s="540">
        <v>15</v>
      </c>
    </row>
    <row r="6" spans="1:8">
      <c r="A6" s="302"/>
      <c r="B6" s="542"/>
      <c r="C6" s="542"/>
      <c r="D6" s="543"/>
      <c r="E6" s="543"/>
      <c r="F6" s="542"/>
      <c r="G6" s="540"/>
    </row>
    <row r="7" spans="1:8">
      <c r="A7" s="302" t="str">
        <f>SPB!A29</f>
        <v>AB Deploy</v>
      </c>
      <c r="B7" s="542">
        <f>SPB!C29</f>
        <v>7</v>
      </c>
      <c r="C7" s="542">
        <f>SPB!D29</f>
        <v>4</v>
      </c>
      <c r="D7" s="543">
        <f>SPB!U29</f>
        <v>7.9048768097536195</v>
      </c>
      <c r="E7" s="543">
        <f>SPB!V29</f>
        <v>4.9048768097536195</v>
      </c>
      <c r="F7" s="542">
        <f>SPB!H29</f>
        <v>6.7264587877564868</v>
      </c>
      <c r="G7" s="540">
        <v>15</v>
      </c>
    </row>
    <row r="8" spans="1:8">
      <c r="A8" s="302" t="str">
        <f>SPB!A30</f>
        <v>CD Deploy</v>
      </c>
      <c r="B8" s="542">
        <f>SPB!C30</f>
        <v>7</v>
      </c>
      <c r="C8" s="542">
        <f>SPB!D30</f>
        <v>7</v>
      </c>
      <c r="D8" s="543">
        <f>SPB!U30</f>
        <v>7.9048768097536195</v>
      </c>
      <c r="E8" s="543">
        <f>SPB!V30</f>
        <v>7.9048768097536195</v>
      </c>
      <c r="F8" s="542">
        <f>SPB!H30</f>
        <v>6.6071184474312705</v>
      </c>
      <c r="G8" s="540">
        <v>15</v>
      </c>
    </row>
    <row r="9" spans="1:8">
      <c r="A9" s="544"/>
      <c r="B9" s="545"/>
      <c r="C9" s="545"/>
      <c r="D9" s="546"/>
      <c r="E9" s="546"/>
      <c r="F9" s="545"/>
      <c r="G9" s="540"/>
    </row>
    <row r="10" spans="1:8">
      <c r="A10" s="547" t="str">
        <f>SPB!A31</f>
        <v>SPIN-UP/ Fine Wire Unfurl</v>
      </c>
      <c r="B10" s="548">
        <f>SPB!C31</f>
        <v>10</v>
      </c>
      <c r="C10" s="548">
        <f>SPB!D31</f>
        <v>10</v>
      </c>
      <c r="D10" s="549">
        <f>SPB!U31</f>
        <v>10.90487680975362</v>
      </c>
      <c r="E10" s="549">
        <f>SPB!V31</f>
        <v>10.90487680975362</v>
      </c>
      <c r="F10" s="548">
        <f>SPB!H31</f>
        <v>14</v>
      </c>
      <c r="G10" s="540">
        <v>16</v>
      </c>
    </row>
    <row r="11" spans="1:8">
      <c r="A11" s="547"/>
      <c r="B11" s="548"/>
      <c r="C11" s="548"/>
      <c r="D11" s="549"/>
      <c r="E11" s="549"/>
      <c r="F11" s="548"/>
      <c r="G11" s="540"/>
    </row>
    <row r="12" spans="1:8">
      <c r="A12" s="302" t="str">
        <f>SPB!A32</f>
        <v>AB Deploy</v>
      </c>
      <c r="B12" s="542">
        <f>SPB!C32</f>
        <v>15</v>
      </c>
      <c r="C12" s="542">
        <f>SPB!D32</f>
        <v>10</v>
      </c>
      <c r="D12" s="543">
        <f>SPB!U32</f>
        <v>15.90487680975362</v>
      </c>
      <c r="E12" s="543">
        <f>SPB!V32</f>
        <v>10.90487680975362</v>
      </c>
      <c r="F12" s="542">
        <f>SPB!H32</f>
        <v>13.243972517571432</v>
      </c>
      <c r="G12" s="540">
        <v>17</v>
      </c>
    </row>
    <row r="13" spans="1:8">
      <c r="A13" s="302" t="str">
        <f>SPB!A33</f>
        <v>CD Deploy</v>
      </c>
      <c r="B13" s="542">
        <f>SPB!C33</f>
        <v>15</v>
      </c>
      <c r="C13" s="542">
        <f>SPB!D33</f>
        <v>15</v>
      </c>
      <c r="D13" s="543">
        <f>SPB!U33</f>
        <v>15.90487680975362</v>
      </c>
      <c r="E13" s="543">
        <f>SPB!V33</f>
        <v>15.90487680975362</v>
      </c>
      <c r="F13" s="542">
        <f>SPB!H33</f>
        <v>12.565415418668229</v>
      </c>
      <c r="G13" s="540">
        <v>17</v>
      </c>
    </row>
    <row r="14" spans="1:8">
      <c r="A14" s="302"/>
      <c r="B14" s="542"/>
      <c r="C14" s="542"/>
      <c r="D14" s="543"/>
      <c r="E14" s="543"/>
      <c r="F14" s="542"/>
      <c r="G14" s="540"/>
    </row>
    <row r="15" spans="1:8">
      <c r="A15" s="302" t="str">
        <f>SPB!A34</f>
        <v>AB Deploy</v>
      </c>
      <c r="B15" s="542">
        <f>SPB!C34</f>
        <v>20</v>
      </c>
      <c r="C15" s="542">
        <f>SPB!D34</f>
        <v>15</v>
      </c>
      <c r="D15" s="543">
        <f>SPB!U34</f>
        <v>20.90487680975362</v>
      </c>
      <c r="E15" s="543">
        <f>SPB!V34</f>
        <v>15.90487680975362</v>
      </c>
      <c r="F15" s="542">
        <f>SPB!H34</f>
        <v>11.678198905557938</v>
      </c>
      <c r="G15" s="540">
        <v>18</v>
      </c>
    </row>
    <row r="16" spans="1:8">
      <c r="A16" s="302" t="str">
        <f>SPB!A35</f>
        <v>CD Deploy</v>
      </c>
      <c r="B16" s="542">
        <f>SPB!C35</f>
        <v>20</v>
      </c>
      <c r="C16" s="542">
        <f>SPB!D35</f>
        <v>20</v>
      </c>
      <c r="D16" s="543">
        <f>SPB!U35</f>
        <v>20.90487680975362</v>
      </c>
      <c r="E16" s="543">
        <f>SPB!V35</f>
        <v>20.90487680975362</v>
      </c>
      <c r="F16" s="542">
        <f>SPB!H35</f>
        <v>10.908008286730258</v>
      </c>
      <c r="G16" s="540" t="s">
        <v>585</v>
      </c>
      <c r="H16" s="64"/>
    </row>
    <row r="17" spans="1:8">
      <c r="A17" s="302"/>
      <c r="B17" s="542"/>
      <c r="C17" s="542"/>
      <c r="D17" s="543"/>
      <c r="E17" s="543"/>
      <c r="F17" s="542"/>
      <c r="G17" s="540"/>
      <c r="H17" s="64"/>
    </row>
    <row r="18" spans="1:8">
      <c r="A18" s="302" t="str">
        <f>SPB!A37</f>
        <v>AB Deploy</v>
      </c>
      <c r="B18" s="542">
        <f>SPB!C37</f>
        <v>25</v>
      </c>
      <c r="C18" s="542">
        <f>SPB!D37</f>
        <v>20</v>
      </c>
      <c r="D18" s="543">
        <f>SPB!U37</f>
        <v>25.90487680975362</v>
      </c>
      <c r="E18" s="543">
        <f>SPB!V37</f>
        <v>20.90487680975362</v>
      </c>
      <c r="F18" s="542">
        <f>SPB!H37</f>
        <v>10.011727190583914</v>
      </c>
      <c r="G18" s="540" t="s">
        <v>586</v>
      </c>
    </row>
    <row r="19" spans="1:8">
      <c r="A19" s="302" t="str">
        <f>SPB!A38</f>
        <v>CD Deploy</v>
      </c>
      <c r="B19" s="542">
        <f>SPB!C38</f>
        <v>25</v>
      </c>
      <c r="C19" s="542">
        <f>SPB!D38</f>
        <v>25</v>
      </c>
      <c r="D19" s="543">
        <f>SPB!U38</f>
        <v>25.90487680975362</v>
      </c>
      <c r="E19" s="543">
        <f>SPB!V38</f>
        <v>25.90487680975362</v>
      </c>
      <c r="F19" s="542">
        <f>SPB!H38</f>
        <v>9.2515525176627733</v>
      </c>
      <c r="G19" s="540">
        <v>20</v>
      </c>
    </row>
    <row r="20" spans="1:8">
      <c r="A20" s="302"/>
      <c r="B20" s="542"/>
      <c r="C20" s="542"/>
      <c r="D20" s="543"/>
      <c r="E20" s="543"/>
      <c r="F20" s="542"/>
      <c r="G20" s="540"/>
    </row>
    <row r="21" spans="1:8">
      <c r="A21" s="302" t="str">
        <f>SPB!A39</f>
        <v>AB Deploy</v>
      </c>
      <c r="B21" s="542">
        <f>SPB!C39</f>
        <v>30</v>
      </c>
      <c r="C21" s="542">
        <f>SPB!D39</f>
        <v>25</v>
      </c>
      <c r="D21" s="543">
        <f>SPB!U39</f>
        <v>30.90487680975362</v>
      </c>
      <c r="E21" s="543">
        <f>SPB!V39</f>
        <v>25.90487680975362</v>
      </c>
      <c r="F21" s="542">
        <f>SPB!H39</f>
        <v>8.4281231727782355</v>
      </c>
      <c r="G21" s="540">
        <v>20</v>
      </c>
    </row>
    <row r="22" spans="1:8">
      <c r="A22" s="302" t="str">
        <f>SPB!A40</f>
        <v>CD Deploy</v>
      </c>
      <c r="B22" s="542">
        <f>SPB!C40</f>
        <v>30</v>
      </c>
      <c r="C22" s="542">
        <f>SPB!D40</f>
        <v>30</v>
      </c>
      <c r="D22" s="543">
        <f>SPB!U40</f>
        <v>30.90487680975362</v>
      </c>
      <c r="E22" s="543">
        <f>SPB!V40</f>
        <v>30.90487680975362</v>
      </c>
      <c r="F22" s="542">
        <f>SPB!H40</f>
        <v>7.7392917646974349</v>
      </c>
      <c r="G22" s="540">
        <v>20</v>
      </c>
    </row>
    <row r="23" spans="1:8">
      <c r="A23" s="544"/>
      <c r="B23" s="545"/>
      <c r="C23" s="545"/>
      <c r="D23" s="546"/>
      <c r="E23" s="546"/>
      <c r="F23" s="545"/>
      <c r="G23" s="540"/>
    </row>
    <row r="24" spans="1:8">
      <c r="A24" s="547" t="str">
        <f>SPB!A41</f>
        <v>SPIN-UP</v>
      </c>
      <c r="B24" s="548">
        <f>SPB!C41</f>
        <v>30</v>
      </c>
      <c r="C24" s="548">
        <f>SPB!D41</f>
        <v>30</v>
      </c>
      <c r="D24" s="549">
        <f>SPB!U41</f>
        <v>30.90487680975362</v>
      </c>
      <c r="E24" s="549">
        <f>SPB!V41</f>
        <v>30.90487680975362</v>
      </c>
      <c r="F24" s="548">
        <f>SPB!H41</f>
        <v>11.06</v>
      </c>
      <c r="G24" s="540">
        <v>21</v>
      </c>
    </row>
    <row r="25" spans="1:8">
      <c r="A25" s="547"/>
      <c r="B25" s="548"/>
      <c r="C25" s="548"/>
      <c r="D25" s="549"/>
      <c r="E25" s="549"/>
      <c r="F25" s="548"/>
      <c r="G25" s="540"/>
    </row>
    <row r="26" spans="1:8">
      <c r="A26" s="302" t="str">
        <f>SPB!A42</f>
        <v>AB Deploy</v>
      </c>
      <c r="B26" s="542">
        <f>SPB!C42</f>
        <v>35</v>
      </c>
      <c r="C26" s="542">
        <f>SPB!D42</f>
        <v>30</v>
      </c>
      <c r="D26" s="543">
        <f>SPB!U42</f>
        <v>35.904876809753617</v>
      </c>
      <c r="E26" s="543">
        <f>SPB!V42</f>
        <v>30.90487680975362</v>
      </c>
      <c r="F26" s="542">
        <f>SPB!H42</f>
        <v>10.041477130899642</v>
      </c>
      <c r="G26" s="540">
        <v>21</v>
      </c>
    </row>
    <row r="27" spans="1:8">
      <c r="A27" s="302" t="str">
        <f>SPB!A43</f>
        <v>CD Deploy</v>
      </c>
      <c r="B27" s="542">
        <f>SPB!C43</f>
        <v>35</v>
      </c>
      <c r="C27" s="542">
        <f>SPB!D43</f>
        <v>35</v>
      </c>
      <c r="D27" s="543">
        <f>SPB!U43</f>
        <v>35.904876809753617</v>
      </c>
      <c r="E27" s="543">
        <f>SPB!V43</f>
        <v>35.904876809753617</v>
      </c>
      <c r="F27" s="542">
        <f>SPB!H43</f>
        <v>9.1947283845331675</v>
      </c>
      <c r="G27" s="540">
        <v>21</v>
      </c>
    </row>
    <row r="28" spans="1:8">
      <c r="A28" s="302"/>
      <c r="B28" s="542"/>
      <c r="C28" s="542"/>
      <c r="D28" s="543"/>
      <c r="E28" s="543"/>
      <c r="F28" s="542"/>
      <c r="G28" s="540"/>
    </row>
    <row r="29" spans="1:8">
      <c r="A29" s="302" t="str">
        <f>SPB!A44</f>
        <v>AB Deploy</v>
      </c>
      <c r="B29" s="542">
        <f>SPB!C44</f>
        <v>40</v>
      </c>
      <c r="C29" s="542">
        <f>SPB!D44</f>
        <v>35</v>
      </c>
      <c r="D29" s="543">
        <f>SPB!U44</f>
        <v>40.904876809753617</v>
      </c>
      <c r="E29" s="543">
        <f>SPB!V44</f>
        <v>35.904876809753617</v>
      </c>
      <c r="F29" s="542">
        <f>SPB!H44</f>
        <v>8.3441173353043734</v>
      </c>
      <c r="G29" s="540" t="s">
        <v>587</v>
      </c>
    </row>
    <row r="30" spans="1:8">
      <c r="A30" s="302" t="str">
        <f>SPB!A45</f>
        <v>CD Deploy</v>
      </c>
      <c r="B30" s="542">
        <f>SPB!C45</f>
        <v>40</v>
      </c>
      <c r="C30" s="542">
        <f>SPB!D45</f>
        <v>40</v>
      </c>
      <c r="D30" s="543">
        <f>SPB!U45</f>
        <v>40.904876809753617</v>
      </c>
      <c r="E30" s="543">
        <f>SPB!V45</f>
        <v>40.904876809753617</v>
      </c>
      <c r="F30" s="542">
        <f>SPB!H45</f>
        <v>7.6375609816567591</v>
      </c>
      <c r="G30" s="540">
        <v>23</v>
      </c>
    </row>
    <row r="31" spans="1:8">
      <c r="A31" s="302"/>
      <c r="B31" s="542"/>
      <c r="C31" s="542"/>
      <c r="D31" s="543"/>
      <c r="E31" s="543"/>
      <c r="F31" s="542"/>
      <c r="G31" s="540"/>
    </row>
    <row r="32" spans="1:8">
      <c r="A32" s="302" t="str">
        <f>SPB!A46</f>
        <v>AB Deploy</v>
      </c>
      <c r="B32" s="542">
        <f>SPB!C46</f>
        <v>45</v>
      </c>
      <c r="C32" s="542">
        <f>SPB!D46</f>
        <v>40</v>
      </c>
      <c r="D32" s="543">
        <f>SPB!U46</f>
        <v>45.904876809753617</v>
      </c>
      <c r="E32" s="543">
        <f>SPB!V46</f>
        <v>40.904876809753617</v>
      </c>
      <c r="F32" s="542">
        <f>SPB!H46</f>
        <v>6.9411045828573004</v>
      </c>
      <c r="G32" s="540">
        <v>23</v>
      </c>
    </row>
    <row r="33" spans="1:7">
      <c r="A33" s="302" t="str">
        <f>SPB!A47</f>
        <v>CD Deploy</v>
      </c>
      <c r="B33" s="542">
        <f>SPB!C47</f>
        <v>45</v>
      </c>
      <c r="C33" s="542">
        <f>SPB!D47</f>
        <v>45</v>
      </c>
      <c r="D33" s="543">
        <f>SPB!U47</f>
        <v>45.904876809753617</v>
      </c>
      <c r="E33" s="543">
        <f>SPB!V47</f>
        <v>45.904876809753617</v>
      </c>
      <c r="F33" s="542">
        <f>SPB!H47</f>
        <v>6.3610509927599654</v>
      </c>
      <c r="G33" s="540">
        <v>23</v>
      </c>
    </row>
    <row r="34" spans="1:7">
      <c r="A34" s="302"/>
      <c r="B34" s="542"/>
      <c r="C34" s="542"/>
      <c r="D34" s="543"/>
      <c r="E34" s="543"/>
      <c r="F34" s="542"/>
      <c r="G34" s="540"/>
    </row>
    <row r="35" spans="1:7">
      <c r="A35" s="302" t="str">
        <f>SPB!A48</f>
        <v>AB Deploy</v>
      </c>
      <c r="B35" s="542">
        <f>SPB!C48</f>
        <v>49.094999999999999</v>
      </c>
      <c r="C35" s="542">
        <f>SPB!D48</f>
        <v>45</v>
      </c>
      <c r="D35" s="543">
        <f>SPB!U48</f>
        <v>49.999876809753616</v>
      </c>
      <c r="E35" s="543">
        <f>SPB!V48</f>
        <v>45.904876809753617</v>
      </c>
      <c r="F35" s="542">
        <f>SPB!H48</f>
        <v>5.8966483736741466</v>
      </c>
      <c r="G35" s="540">
        <v>24</v>
      </c>
    </row>
    <row r="36" spans="1:7">
      <c r="A36" s="302" t="str">
        <f>SPB!A49</f>
        <v>CD Deploy</v>
      </c>
      <c r="B36" s="542">
        <f>SPB!C49</f>
        <v>49.094999999999999</v>
      </c>
      <c r="C36" s="542">
        <f>SPB!D49</f>
        <v>49.094999999999999</v>
      </c>
      <c r="D36" s="543">
        <f>SPB!U49</f>
        <v>49.999876809753616</v>
      </c>
      <c r="E36" s="543">
        <f>SPB!V49</f>
        <v>49.999876809753616</v>
      </c>
      <c r="F36" s="542">
        <f>SPB!H49</f>
        <v>5.4954414936200795</v>
      </c>
      <c r="G36" s="540">
        <v>24</v>
      </c>
    </row>
    <row r="37" spans="1:7">
      <c r="A37" s="544"/>
      <c r="B37" s="545"/>
      <c r="C37" s="545"/>
      <c r="D37" s="546"/>
      <c r="E37" s="546"/>
      <c r="F37" s="545"/>
      <c r="G37" s="540"/>
    </row>
    <row r="38" spans="1:7">
      <c r="A38" s="547" t="str">
        <f>SPB!A50</f>
        <v>FINAL SPIN ADJ (as needed)</v>
      </c>
      <c r="B38" s="548">
        <f>SPB!C50</f>
        <v>49.095123190246383</v>
      </c>
      <c r="C38" s="548">
        <f>SPB!D50</f>
        <v>49.095123190246383</v>
      </c>
      <c r="D38" s="549">
        <f>SPB!U50</f>
        <v>50</v>
      </c>
      <c r="E38" s="549">
        <f>SPB!V50</f>
        <v>50</v>
      </c>
      <c r="F38" s="548">
        <f>SPB!H50</f>
        <v>5.5</v>
      </c>
      <c r="G38" s="540">
        <v>25</v>
      </c>
    </row>
    <row r="39" spans="1:7">
      <c r="A39" s="544"/>
      <c r="B39" s="544"/>
      <c r="C39" s="544"/>
      <c r="D39" s="544"/>
      <c r="E39" s="544"/>
      <c r="F39" s="544"/>
      <c r="G39" s="540"/>
    </row>
    <row r="41" spans="1:7">
      <c r="A41" s="565" t="s">
        <v>589</v>
      </c>
      <c r="B41" s="565"/>
      <c r="C41" s="565"/>
      <c r="D41" s="565"/>
      <c r="E41" s="565"/>
      <c r="F41" s="565"/>
      <c r="G41" s="565"/>
    </row>
    <row r="42" spans="1:7" ht="20.25" customHeight="1">
      <c r="A42" s="558" t="s">
        <v>590</v>
      </c>
      <c r="B42" s="559"/>
      <c r="C42" s="559"/>
      <c r="D42" s="559"/>
      <c r="E42" s="559"/>
      <c r="F42" s="559"/>
      <c r="G42" s="560"/>
    </row>
    <row r="43" spans="1:7" ht="27" customHeight="1">
      <c r="A43" s="558" t="s">
        <v>591</v>
      </c>
      <c r="B43" s="559"/>
      <c r="C43" s="559"/>
      <c r="D43" s="559"/>
      <c r="E43" s="559"/>
      <c r="F43" s="559"/>
      <c r="G43" s="560"/>
    </row>
    <row r="44" spans="1:7" ht="25.5" customHeight="1">
      <c r="A44" s="558" t="s">
        <v>592</v>
      </c>
      <c r="B44" s="559"/>
      <c r="C44" s="559"/>
      <c r="D44" s="559"/>
      <c r="E44" s="559"/>
      <c r="F44" s="559"/>
      <c r="G44" s="560"/>
    </row>
  </sheetData>
  <mergeCells count="6">
    <mergeCell ref="A44:G44"/>
    <mergeCell ref="A1:G1"/>
    <mergeCell ref="A2:G2"/>
    <mergeCell ref="A41:G41"/>
    <mergeCell ref="A42:G42"/>
    <mergeCell ref="A43:G4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Cover</vt:lpstr>
      <vt:lpstr>Summary &amp; ICD</vt:lpstr>
      <vt:lpstr>SPB</vt:lpstr>
      <vt:lpstr>AXB</vt:lpstr>
      <vt:lpstr>IDPU Calcs</vt:lpstr>
      <vt:lpstr>Harness calcs</vt:lpstr>
      <vt:lpstr>Harness calcs Old</vt:lpstr>
      <vt:lpstr>SPB Deploy Summary</vt:lpstr>
      <vt:lpstr>AXB!Print_Area</vt:lpstr>
      <vt:lpstr>SPB!Print_Area</vt:lpstr>
      <vt:lpstr>'Summary &amp; ICD'!Print_Area</vt:lpstr>
    </vt:vector>
  </TitlesOfParts>
  <Company>university of california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pankow</dc:creator>
  <cp:lastModifiedBy>John Bonnell</cp:lastModifiedBy>
  <cp:lastPrinted>2012-08-13T23:26:42Z</cp:lastPrinted>
  <dcterms:created xsi:type="dcterms:W3CDTF">2002-05-01T20:53:57Z</dcterms:created>
  <dcterms:modified xsi:type="dcterms:W3CDTF">2012-09-02T18:09:42Z</dcterms:modified>
</cp:coreProperties>
</file>